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yenbw-my.sharepoint.com/personal/c_burg_netze-bw_de/Documents/"/>
    </mc:Choice>
  </mc:AlternateContent>
  <xr:revisionPtr revIDLastSave="0" documentId="8_{E637E3A2-6EFF-44B5-BD59-B62F1CB5C3EA}" xr6:coauthVersionLast="44" xr6:coauthVersionMax="44" xr10:uidLastSave="{00000000-0000-0000-0000-000000000000}"/>
  <bookViews>
    <workbookView xWindow="-110" yWindow="-110" windowWidth="19420" windowHeight="1042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15" i="7"/>
  <c r="F12" i="7"/>
  <c r="F26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<sst xmlns="http://schemas.openxmlformats.org/spreadsheetml/2006/main" count="1400" uniqueCount="680">
  <si>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</si>
  <si>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</si>
  <si>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</si>
  <si>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</si>
  <si>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</si>
  <si>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</si>
  <si>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</si>
  <si>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</si>
  <si>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</si>
  <si>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</si>
  <si>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</si>
  <si>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</si>
  <si>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</si>
  <si>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</si>
  <si>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</si>
  <si>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</si>
  <si>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</si>
  <si>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</si>
  <si>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</si>
  <si>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</si>
  <si>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</si>
  <si>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</si>
  <si>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</si>
  <si>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</si>
  <si>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</si>
  <si>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</si>
  <si>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</si>
  <si>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</si>
  <si>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</si>
  <si>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</si>
  <si>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</si>
  <si>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</si>
  <si>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</si>
  <si>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</si>
  <si>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</si>
  <si>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</si>
  <si>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</si>
  <si>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</si>
  <si>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</si>
  <si>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</si>
  <si>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</si>
  <si>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</si>
  <si>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</si>
  <si>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</si>
  <si>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</si>
  <si>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</si>
  <si>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</si>
  <si>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</si>
  <si>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</si>
  <si>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</si>
  <si>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</si>
  <si>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</si>
  <si>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</si>
  <si>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</si>
  <si>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</si>
  <si>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</si>
  <si>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</si>
  <si>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</si>
  <si>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</si>
  <si>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</si>
  <si>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</si>
  <si>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</si>
  <si>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</si>
  <si>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</si>
  <si>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</si>
  <si>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</si>
  <si>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</si>
  <si>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</si>
  <si>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</si>
  <si>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</si>
  <si>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</si>
  <si>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</si>
  <si>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</si>
  <si>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</si>
  <si>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</si>
  <si>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</si>
  <si>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</si>
  <si>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</si>
  <si>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</si>
  <si>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</si>
  <si>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</si>
  <si>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</si>
  <si>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</si>
  <si>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</si>
  <si>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</si>
  <si>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</si>
  <si>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</si>
  <si>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</si>
  <si>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</si>
  <si>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</si>
  <si>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</si>
  <si>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</si>
  <si>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</si>
  <si>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</si>
  <si>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</si>
  <si>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</si>
  <si>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</si>
  <si>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</si>
  <si>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</si>
  <si>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</si>
  <si>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</si>
  <si>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</si>
  <si>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</si>
  <si>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</si>
  <si>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</si>
  <si>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</si>
  <si>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</si>
  <si>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</si>
  <si>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</si>
  <si>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</si>
  <si>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</si>
  <si>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</si>
  <si>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</si>
  <si>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</si>
  <si>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</si>
  <si>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</si>
  <si>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</si>
  <si>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</si>
  <si>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</si>
  <si>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</si>
  <si>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</si>
  <si>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</si>
  <si>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</si>
  <si>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</si>
  <si>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</si>
  <si>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</si>
  <si>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</si>
  <si>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</si>
  <si>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</si>
  <si>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</si>
  <si>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</si>
  <si>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</si>
  <si>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</si>
  <si>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</si>
  <si>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</si>
  <si>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</si>
  <si>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</si>
  <si>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</si>
  <si>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</si>
  <si>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</si>
  <si>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</si>
  <si>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</si>
  <si>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</si>
  <si>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</si>
  <si>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</si>
  <si>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</si>
  <si>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</si>
  <si>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</si>
  <si>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</si>
  <si>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</si>
  <si>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</si>
  <si>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</si>
  <si>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</si>
  <si>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</si>
  <si>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</si>
  <si>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</si>
  <si>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</si>
  <si>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</si>
  <si>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</si>
  <si>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</si>
  <si>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</si>
  <si>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</si>
  <si>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</si>
  <si>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</si>
  <si>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</si>
  <si>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</si>
  <si>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</si>
  <si>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</si>
  <si>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</si>
  <si>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</si>
  <si>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</si>
  <si>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</si>
  <si>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</si>
  <si>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</si>
  <si>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</si>
  <si>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</si>
  <si>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</si>
  <si>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</si>
  <si>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</si>
  <si>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</si>
  <si>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</si>
  <si>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</si>
  <si>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</si>
  <si>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</si>
  <si>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</si>
  <si>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</si>
  <si>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</si>
  <si>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</si>
  <si>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</si>
  <si>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</si>
  <si>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</si>
  <si>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</si>
  <si>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</si>
  <si>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</si>
  <si>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</si>
  <si>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</si>
  <si>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</si>
  <si>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</si>
  <si>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</si>
  <si>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</si>
  <si>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</si>
  <si>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</si>
  <si>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</si>
  <si>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</si>
  <si>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</si>
  <si>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</si>
  <si>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</si>
  <si>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</si>
  <si>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</si>
  <si>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</si>
  <si>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</si>
  <si>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</si>
  <si>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</si>
  <si>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</si>
  <si>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</si>
  <si>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</si>
  <si>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</si>
  <si>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</si>
  <si>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</si>
  <si>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</si>
  <si>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</si>
  <si>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</si>
  <si>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</si>
  <si>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</si>
  <si>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</si>
  <si>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</si>
  <si>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</si>
  <si>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</si>
  <si>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</si>
  <si>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</si>
  <si>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</si>
  <si>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</si>
  <si>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</si>
  <si>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</si>
  <si>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</si>
  <si>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</si>
  <si>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</si>
  <si>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</si>
  <si>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</si>
  <si>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</si>
  <si>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</si>
  <si>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</si>
  <si>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</si>
  <si>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</si>
  <si>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</si>
  <si>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</si>
  <si>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</si>
  <si>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</si>
  <si>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</si>
  <si>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</si>
  <si>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</si>
  <si>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DE_GMK33</t>
  </si>
  <si>
    <t>DE_GHA33</t>
  </si>
  <si>
    <t>DE_GKO33</t>
  </si>
  <si>
    <t>DE_GBD33</t>
  </si>
  <si>
    <t>DE_GGA33</t>
  </si>
  <si>
    <t>DE_GWA33</t>
  </si>
  <si>
    <t>DE_GPD33</t>
  </si>
  <si>
    <t>DE_GGB33</t>
  </si>
  <si>
    <t>DE_GBH33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</si>
  <si>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</si>
  <si>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</si>
  <si>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</si>
  <si>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</si>
  <si>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</si>
  <si>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</si>
  <si>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</si>
  <si>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</si>
  <si>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</si>
  <si>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</si>
  <si>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</si>
  <si>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</si>
  <si>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</si>
  <si>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</si>
  <si>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</si>
  <si>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</si>
  <si>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</si>
  <si>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</si>
  <si>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</si>
  <si>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</si>
  <si>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</si>
  <si>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</si>
  <si>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</si>
  <si>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</si>
  <si>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</si>
  <si>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</si>
  <si>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</si>
  <si>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</si>
  <si>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</si>
  <si>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</si>
  <si>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</si>
  <si>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</si>
  <si>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</si>
  <si>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</si>
  <si>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</si>
  <si>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</si>
  <si>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</si>
  <si>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</si>
  <si>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</si>
  <si>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</si>
  <si>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</si>
  <si>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</si>
  <si>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</si>
  <si>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</si>
  <si>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</si>
  <si>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</si>
  <si>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</si>
  <si>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</si>
  <si>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</si>
  <si>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</si>
  <si>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</si>
  <si>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</si>
  <si>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</si>
  <si>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</si>
  <si>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</si>
  <si>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</si>
  <si>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</si>
  <si>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</si>
  <si>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</si>
  <si>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</si>
  <si>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</si>
  <si>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</si>
  <si>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</si>
  <si>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</si>
  <si>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</si>
  <si>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</si>
  <si>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</si>
  <si>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</si>
  <si>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</si>
  <si>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</si>
  <si>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</si>
  <si>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</si>
  <si>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</si>
  <si>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</si>
  <si>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</si>
  <si>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</si>
  <si>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</si>
  <si>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</si>
  <si>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</si>
  <si>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</si>
  <si>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</si>
  <si>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</si>
  <si>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</si>
  <si>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</si>
  <si>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</si>
  <si>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</si>
  <si>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</si>
  <si>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</si>
  <si>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</si>
  <si>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</si>
  <si>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</si>
  <si>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</si>
  <si>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</si>
  <si>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</si>
  <si>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</si>
  <si>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</si>
  <si>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</si>
  <si>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</si>
  <si>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</si>
  <si>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</si>
  <si>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</si>
  <si>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</si>
  <si>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</si>
  <si>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</si>
  <si>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</si>
  <si>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</si>
  <si>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</si>
  <si>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</si>
  <si>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</si>
  <si>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</si>
  <si>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</si>
  <si>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</si>
  <si>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</si>
  <si>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</si>
  <si>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</si>
  <si>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</si>
  <si>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</si>
  <si>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</si>
  <si>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</si>
  <si>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</si>
  <si>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</si>
  <si>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</si>
  <si>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</si>
  <si>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</si>
  <si>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</si>
  <si>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</si>
  <si>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</si>
  <si>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</si>
  <si>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</si>
  <si>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</si>
  <si>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</si>
  <si>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</si>
  <si>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</si>
  <si>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</si>
  <si>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</si>
  <si>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</si>
  <si>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</si>
  <si>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</si>
  <si>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</si>
  <si>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</si>
  <si>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</si>
  <si>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</si>
  <si>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</si>
  <si>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</si>
  <si>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</si>
  <si>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</si>
  <si>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</si>
  <si>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</si>
  <si>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</si>
  <si>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</si>
  <si>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</si>
  <si>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</si>
  <si>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</si>
  <si>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</si>
  <si>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</si>
  <si>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</si>
  <si>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</si>
  <si>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</si>
  <si>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</si>
  <si>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</si>
  <si>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</si>
  <si>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</si>
  <si>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</si>
  <si>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</si>
  <si>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</si>
  <si>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</si>
  <si>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</si>
  <si>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</si>
  <si>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</si>
  <si>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</si>
  <si>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</si>
  <si>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</si>
  <si>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</si>
  <si>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</si>
  <si>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</si>
  <si>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</si>
  <si>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</si>
  <si>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</si>
  <si>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</si>
  <si>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</si>
  <si>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</si>
  <si>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</si>
  <si>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</si>
  <si>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</si>
  <si>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</si>
  <si>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</si>
  <si>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</si>
  <si>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</si>
  <si>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</si>
  <si>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</si>
  <si>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</si>
  <si>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</si>
  <si>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</si>
  <si>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</si>
  <si>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</si>
  <si>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</si>
  <si>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</si>
  <si>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</si>
  <si>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</si>
  <si>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</si>
  <si>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</si>
  <si>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</si>
  <si>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</si>
  <si>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</si>
  <si>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</si>
  <si>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</si>
  <si>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</si>
  <si>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</si>
  <si>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</si>
  <si>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</si>
  <si>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</si>
  <si>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</si>
  <si>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</si>
  <si>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</si>
  <si>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</si>
  <si>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</si>
  <si>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</si>
  <si>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</si>
  <si>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</si>
  <si>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</si>
  <si>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</si>
  <si>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</si>
  <si>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</si>
  <si>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</si>
  <si>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</si>
  <si>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</si>
  <si>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</si>
  <si>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</si>
  <si>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</si>
  <si>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</si>
  <si>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</si>
  <si>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</si>
  <si>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</si>
  <si>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</si>
  <si>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</si>
  <si>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>Musterstraße 1</t>
  </si>
  <si>
    <t>Musterstadt</t>
  </si>
  <si>
    <t>Max Mustermann</t>
  </si>
  <si>
    <t>max.mustermann@muster.de</t>
  </si>
  <si>
    <t>030/123456789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</si>
  <si>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</si>
  <si>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</si>
  <si>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</si>
  <si>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</si>
  <si>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</si>
  <si>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</si>
  <si>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</si>
  <si>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</si>
  <si>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</si>
  <si>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</si>
  <si>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</si>
  <si>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</si>
  <si>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</si>
  <si>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</si>
  <si>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</si>
  <si>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</si>
  <si>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Musternetz 1</t>
  </si>
  <si>
    <t>Musternetz 2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</si>
  <si>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</si>
  <si>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</si>
  <si>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</si>
  <si>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</si>
  <si>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</si>
  <si>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</si>
  <si>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</si>
  <si>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</si>
  <si>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</si>
  <si>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DE_GHD33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</si>
  <si>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</si>
  <si>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</si>
  <si>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</si>
  <si>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</si>
  <si>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</si>
  <si>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</si>
  <si>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</si>
  <si>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</si>
  <si>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</si>
  <si>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</si>
  <si>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</si>
  <si>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</si>
  <si>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</si>
  <si>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</si>
  <si>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</si>
  <si>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</si>
  <si>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</si>
  <si>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</si>
  <si>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</si>
  <si>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</si>
  <si>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</si>
  <si>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</si>
  <si>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</si>
  <si>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</si>
  <si>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</si>
  <si>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</si>
  <si>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</si>
  <si>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</si>
  <si>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</si>
  <si>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</si>
  <si>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</si>
  <si>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</si>
  <si>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</si>
  <si>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</si>
  <si>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</si>
  <si>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</si>
  <si>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</si>
  <si>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</si>
  <si>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</si>
  <si>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</si>
  <si>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</si>
  <si>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</si>
  <si>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</si>
  <si>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</si>
  <si>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</si>
  <si>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</si>
  <si>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</si>
  <si>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</si>
  <si>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</si>
  <si>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</si>
  <si>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</si>
  <si>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</si>
  <si>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</si>
  <si>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</si>
  <si>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</si>
  <si>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</si>
  <si>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</si>
  <si>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</si>
  <si>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</si>
  <si>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</si>
  <si>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</si>
  <si>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</si>
  <si>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</si>
  <si>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</si>
  <si>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</si>
  <si>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</si>
  <si>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</si>
  <si>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</si>
  <si>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</si>
  <si>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</si>
  <si>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</si>
  <si>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</si>
  <si>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</si>
  <si>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</si>
  <si>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</si>
  <si>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</si>
  <si>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</si>
  <si>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</si>
  <si>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</si>
  <si>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</si>
  <si>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</si>
  <si>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</si>
  <si>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</si>
  <si>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</si>
  <si>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</si>
  <si>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</si>
  <si>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</si>
  <si>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</si>
  <si>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</si>
  <si>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</si>
  <si>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</si>
  <si>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</si>
  <si>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</si>
  <si>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</si>
  <si>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>Muster-Temp.gebiet 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</si>
  <si>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</si>
  <si>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</si>
  <si>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Muster-Temp.gebiet 2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</si>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</sst>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topLeftCell="A21" zoomScale="95" zoomScaleNormal="95" workbookViewId="0">
      <selection activeCell="G31" sqref="G31"/>
    </sheetView>
  </sheetViews>
  <sheetFormatPr baseColWidth="10" defaultColWidth="0" defaultRowHeight="14.5" zeroHeight="1" x14ac:dyDescent="0.35"/>
  <cols>
    <col min="1" max="1" width="2.81640625" customWidth="1"/>
    <col min="2" max="15" width="11.453125" customWidth="1"/>
    <col min="16" max="16384" width="11.453125" hidden="1"/>
  </cols>
  <sheetData>
    <row r="1" spans="2:7" ht="75.75" customHeight="1" x14ac:dyDescent="0.35"/>
    <row r="2" spans="2:7" ht="23.5" x14ac:dyDescent="0.55000000000000004">
      <c r="B2" s="9" t="s">
        <v>472</v>
      </c>
    </row>
    <row r="3" spans="2:7" x14ac:dyDescent="0.35"/>
    <row r="4" spans="2:7" x14ac:dyDescent="0.35">
      <c r="B4" s="8" t="s">
        <v>467</v>
      </c>
    </row>
    <row r="5" spans="2:7" x14ac:dyDescent="0.35">
      <c r="B5" s="8" t="s">
        <v>468</v>
      </c>
    </row>
    <row r="6" spans="2:7" x14ac:dyDescent="0.35"/>
    <row r="7" spans="2:7" x14ac:dyDescent="0.35">
      <c r="B7" t="s">
        <v>345</v>
      </c>
    </row>
    <row r="8" spans="2:7" s="8" customFormat="1" x14ac:dyDescent="0.35">
      <c r="B8" s="8" t="s">
        <v>469</v>
      </c>
    </row>
    <row r="9" spans="2:7" s="8" customFormat="1" x14ac:dyDescent="0.35"/>
    <row r="10" spans="2:7" s="8" customFormat="1" x14ac:dyDescent="0.35">
      <c r="B10" s="14" t="s">
        <v>454</v>
      </c>
    </row>
    <row r="11" spans="2:7" s="8" customFormat="1" x14ac:dyDescent="0.35">
      <c r="B11" s="8" t="s">
        <v>512</v>
      </c>
    </row>
    <row r="12" spans="2:7" s="8" customFormat="1" x14ac:dyDescent="0.35">
      <c r="B12" s="8" t="s">
        <v>513</v>
      </c>
    </row>
    <row r="13" spans="2:7" s="8" customFormat="1" x14ac:dyDescent="0.35">
      <c r="B13" s="8" t="s">
        <v>523</v>
      </c>
    </row>
    <row r="14" spans="2:7" s="8" customFormat="1" x14ac:dyDescent="0.35"/>
    <row r="15" spans="2:7" x14ac:dyDescent="0.35">
      <c r="B15" s="20" t="s">
        <v>471</v>
      </c>
      <c r="C15" s="15"/>
    </row>
    <row r="16" spans="2:7" x14ac:dyDescent="0.35">
      <c r="B16" s="15"/>
      <c r="C16" s="15"/>
      <c r="G16" s="10"/>
    </row>
    <row r="17" spans="2:12" x14ac:dyDescent="0.35">
      <c r="B17" s="17" t="s">
        <v>352</v>
      </c>
      <c r="C17" s="15"/>
    </row>
    <row r="18" spans="2:12" s="8" customFormat="1" x14ac:dyDescent="0.35">
      <c r="B18" s="18" t="s">
        <v>346</v>
      </c>
      <c r="C18" s="15"/>
    </row>
    <row r="19" spans="2:12" s="8" customFormat="1" x14ac:dyDescent="0.35">
      <c r="B19" s="18" t="s">
        <v>347</v>
      </c>
      <c r="C19" s="15"/>
    </row>
    <row r="20" spans="2:12" x14ac:dyDescent="0.35">
      <c r="B20" s="17"/>
      <c r="C20" s="15"/>
    </row>
    <row r="21" spans="2:12" x14ac:dyDescent="0.35">
      <c r="B21" s="3" t="s">
        <v>470</v>
      </c>
      <c r="C21" s="15"/>
    </row>
    <row r="22" spans="2:12" s="8" customFormat="1" x14ac:dyDescent="0.35">
      <c r="B22" s="18" t="s">
        <v>348</v>
      </c>
      <c r="C22" s="15"/>
    </row>
    <row r="23" spans="2:12" s="8" customFormat="1" x14ac:dyDescent="0.35">
      <c r="B23" s="18" t="s">
        <v>349</v>
      </c>
      <c r="C23" s="15"/>
    </row>
    <row r="24" spans="2:12" x14ac:dyDescent="0.35">
      <c r="B24" s="17"/>
      <c r="C24" s="15"/>
    </row>
    <row r="25" spans="2:12" x14ac:dyDescent="0.35">
      <c r="B25" s="17" t="s">
        <v>353</v>
      </c>
      <c r="C25" s="15"/>
    </row>
    <row r="26" spans="2:12" x14ac:dyDescent="0.35">
      <c r="B26" s="18" t="s">
        <v>350</v>
      </c>
      <c r="C26" s="15"/>
      <c r="F26" s="8"/>
      <c r="G26" s="8"/>
      <c r="H26" s="8"/>
    </row>
    <row r="27" spans="2:12" x14ac:dyDescent="0.35">
      <c r="B27" s="18" t="s">
        <v>351</v>
      </c>
      <c r="C27" s="15"/>
      <c r="E27" s="8"/>
      <c r="F27" s="8"/>
      <c r="G27" s="8"/>
      <c r="H27" s="8"/>
    </row>
    <row r="28" spans="2:12" x14ac:dyDescent="0.35">
      <c r="B28" s="15"/>
      <c r="C28" s="15"/>
      <c r="E28" s="8"/>
      <c r="F28" s="8"/>
      <c r="G28" s="8"/>
      <c r="H28" s="8"/>
      <c r="L28" s="8"/>
    </row>
    <row r="29" spans="2:12" x14ac:dyDescent="0.35">
      <c r="B29" s="21" t="s">
        <v>354</v>
      </c>
      <c r="C29" s="19">
        <v>43663</v>
      </c>
      <c r="E29" s="8"/>
      <c r="F29" s="8"/>
      <c r="G29" s="8"/>
      <c r="H29" s="8"/>
    </row>
    <row r="30" spans="2:12" x14ac:dyDescent="0.35">
      <c r="B30" s="21" t="s">
        <v>355</v>
      </c>
      <c r="C30" s="339" t="s">
        <v>675</v>
      </c>
      <c r="E30" s="8"/>
      <c r="F30" s="8"/>
      <c r="G30" s="8"/>
      <c r="H30" s="8"/>
    </row>
    <row r="31" spans="2:12" x14ac:dyDescent="0.35">
      <c r="E31" s="8"/>
      <c r="F31" s="8"/>
      <c r="G31" s="8"/>
      <c r="H31" s="8"/>
    </row>
    <row r="32" spans="2:12" x14ac:dyDescent="0.35">
      <c r="E32" s="8"/>
      <c r="F32" s="8"/>
      <c r="G32" s="8"/>
      <c r="H32" s="8"/>
    </row>
    <row r="33" spans="6:6" hidden="1" x14ac:dyDescent="0.35"/>
    <row r="34" spans="6:6" hidden="1" x14ac:dyDescent="0.35"/>
    <row r="35" spans="6:6" hidden="1" x14ac:dyDescent="0.35">
      <c r="F35" s="8"/>
    </row>
    <row r="36" spans="6:6" hidden="1" x14ac:dyDescent="0.35">
      <c r="F36" s="8"/>
    </row>
    <row r="37" spans="6:6" hidden="1" x14ac:dyDescent="0.35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13" zoomScale="80" zoomScaleNormal="80" workbookViewId="0">
      <selection activeCell="C9" sqref="C9"/>
    </sheetView>
  </sheetViews>
  <sheetFormatPr baseColWidth="10" defaultColWidth="0" defaultRowHeight="14.5" zeroHeight="1" x14ac:dyDescent="0.35"/>
  <cols>
    <col min="1" max="1" width="2.81640625" style="8" customWidth="1"/>
    <col min="2" max="2" width="5.81640625" style="2" customWidth="1"/>
    <col min="3" max="3" width="65" customWidth="1"/>
    <col min="4" max="4" width="35.81640625" customWidth="1"/>
    <col min="5" max="5" width="11.453125" customWidth="1"/>
    <col min="6" max="6" width="75.7265625" hidden="1" customWidth="1"/>
    <col min="7" max="16384" width="11.453125" hidden="1"/>
  </cols>
  <sheetData>
    <row r="1" spans="1:8" s="8" customFormat="1" ht="75.75" customHeight="1" x14ac:dyDescent="0.35"/>
    <row r="2" spans="1:8" s="8" customFormat="1" ht="23.5" x14ac:dyDescent="0.55000000000000004">
      <c r="B2" s="9" t="s">
        <v>268</v>
      </c>
    </row>
    <row r="3" spans="1:8" ht="15" customHeight="1" x14ac:dyDescent="0.35">
      <c r="B3" s="22"/>
      <c r="C3" s="15"/>
      <c r="D3" s="15"/>
      <c r="E3" s="15"/>
      <c r="F3" s="15"/>
    </row>
    <row r="4" spans="1:8" ht="15" customHeight="1" x14ac:dyDescent="0.35">
      <c r="B4" s="22"/>
      <c r="C4" s="67" t="s">
        <v>518</v>
      </c>
      <c r="D4" s="27">
        <v>43678</v>
      </c>
      <c r="E4" s="15"/>
      <c r="F4" s="12"/>
      <c r="G4" s="2"/>
    </row>
    <row r="5" spans="1:8" ht="15" customHeight="1" x14ac:dyDescent="0.35">
      <c r="B5" s="22"/>
      <c r="C5" s="15"/>
      <c r="D5" s="15"/>
      <c r="E5" s="15"/>
      <c r="F5" s="47"/>
      <c r="G5" s="2"/>
    </row>
    <row r="6" spans="1:8" ht="15" customHeight="1" x14ac:dyDescent="0.35">
      <c r="B6" s="22"/>
      <c r="C6" s="67" t="s">
        <v>519</v>
      </c>
      <c r="D6" s="27">
        <v>44470</v>
      </c>
      <c r="E6" s="15"/>
      <c r="F6" s="47"/>
      <c r="G6" s="2"/>
      <c r="H6" s="2"/>
    </row>
    <row r="7" spans="1:8" ht="15" customHeight="1" x14ac:dyDescent="0.35">
      <c r="B7" s="22"/>
      <c r="C7" s="15"/>
      <c r="D7" s="15"/>
      <c r="E7" s="15"/>
      <c r="F7" s="12"/>
      <c r="G7" s="2"/>
      <c r="H7" s="2"/>
    </row>
    <row r="8" spans="1:8" ht="15" customHeight="1" x14ac:dyDescent="0.35">
      <c r="B8" s="22"/>
      <c r="C8" s="24"/>
      <c r="D8" s="15"/>
      <c r="E8" s="15"/>
      <c r="F8" s="47"/>
      <c r="G8" s="2"/>
    </row>
    <row r="9" spans="1:8" ht="15" customHeight="1" x14ac:dyDescent="0.35">
      <c r="B9" s="23" t="s">
        <v>72</v>
      </c>
      <c r="C9" s="5" t="s">
        <v>269</v>
      </c>
      <c r="D9" s="41" t="s">
        <v>494</v>
      </c>
      <c r="E9" s="15"/>
      <c r="F9" s="47"/>
      <c r="G9" s="2"/>
    </row>
    <row r="10" spans="1:8" ht="15" customHeight="1" x14ac:dyDescent="0.35">
      <c r="B10" s="22"/>
      <c r="C10" s="5"/>
      <c r="D10" s="28"/>
      <c r="E10" s="15"/>
      <c r="F10" s="47"/>
      <c r="G10" s="2"/>
    </row>
    <row r="11" spans="1:8" s="2" customFormat="1" ht="15" customHeight="1" x14ac:dyDescent="0.35">
      <c r="A11" s="8"/>
      <c r="B11" s="23" t="s">
        <v>73</v>
      </c>
      <c r="C11" s="4" t="s">
        <v>492</v>
      </c>
      <c r="D11" s="42">
        <v>123456789</v>
      </c>
      <c r="E11" s="15"/>
      <c r="F11" s="47"/>
    </row>
    <row r="12" spans="1:8" s="2" customFormat="1" ht="15" customHeight="1" x14ac:dyDescent="0.35">
      <c r="A12" s="8"/>
      <c r="B12" s="22"/>
      <c r="C12" s="5"/>
      <c r="D12" s="28"/>
      <c r="E12" s="15"/>
      <c r="F12" s="47"/>
    </row>
    <row r="13" spans="1:8" ht="15" customHeight="1" x14ac:dyDescent="0.35">
      <c r="B13" s="23" t="s">
        <v>74</v>
      </c>
      <c r="C13" s="5" t="s">
        <v>270</v>
      </c>
      <c r="D13" s="41" t="s">
        <v>495</v>
      </c>
      <c r="E13" s="15"/>
      <c r="F13" s="47"/>
      <c r="G13" s="2"/>
    </row>
    <row r="14" spans="1:8" ht="15" customHeight="1" x14ac:dyDescent="0.35">
      <c r="B14" s="22"/>
      <c r="C14" s="5"/>
      <c r="D14" s="29"/>
      <c r="E14" s="15"/>
      <c r="F14" s="47"/>
      <c r="G14" s="2"/>
    </row>
    <row r="15" spans="1:8" ht="15" customHeight="1" x14ac:dyDescent="0.35">
      <c r="B15" s="23" t="s">
        <v>75</v>
      </c>
      <c r="C15" s="5" t="s">
        <v>271</v>
      </c>
      <c r="D15" s="43">
        <v>10200</v>
      </c>
      <c r="E15" s="15"/>
      <c r="F15" s="47"/>
      <c r="G15" s="2"/>
    </row>
    <row r="16" spans="1:8" ht="15" customHeight="1" x14ac:dyDescent="0.35">
      <c r="B16" s="22"/>
      <c r="C16" s="5"/>
      <c r="D16" s="29"/>
      <c r="E16" s="15"/>
      <c r="F16" s="47"/>
      <c r="G16" s="2"/>
    </row>
    <row r="17" spans="1:15" ht="15" customHeight="1" x14ac:dyDescent="0.35">
      <c r="B17" s="23" t="s">
        <v>76</v>
      </c>
      <c r="C17" s="5" t="s">
        <v>272</v>
      </c>
      <c r="D17" s="41" t="s">
        <v>496</v>
      </c>
      <c r="E17" s="15"/>
      <c r="F17" s="47"/>
      <c r="G17" s="2"/>
    </row>
    <row r="18" spans="1:15" ht="15" customHeight="1" x14ac:dyDescent="0.35">
      <c r="B18" s="22"/>
      <c r="C18" s="5"/>
      <c r="D18" s="29"/>
      <c r="E18" s="15"/>
      <c r="F18" s="47"/>
      <c r="G18" s="2"/>
    </row>
    <row r="19" spans="1:15" ht="15" customHeight="1" x14ac:dyDescent="0.35">
      <c r="B19" s="23" t="s">
        <v>77</v>
      </c>
      <c r="C19" s="5" t="s">
        <v>273</v>
      </c>
      <c r="D19" s="41" t="s">
        <v>497</v>
      </c>
      <c r="E19" s="15"/>
      <c r="F19" s="47"/>
      <c r="G19" s="2"/>
    </row>
    <row r="20" spans="1:15" ht="15" customHeight="1" x14ac:dyDescent="0.35">
      <c r="B20" s="22"/>
      <c r="C20" s="5"/>
      <c r="D20" s="29"/>
      <c r="E20" s="15"/>
      <c r="F20" s="47"/>
      <c r="G20" s="2"/>
    </row>
    <row r="21" spans="1:15" ht="15" customHeight="1" x14ac:dyDescent="0.35">
      <c r="B21" s="23" t="s">
        <v>78</v>
      </c>
      <c r="C21" s="5" t="s">
        <v>274</v>
      </c>
      <c r="D21" s="44" t="s">
        <v>498</v>
      </c>
      <c r="E21" s="15"/>
      <c r="F21" s="47"/>
      <c r="G21" s="2"/>
    </row>
    <row r="22" spans="1:15" ht="15" customHeight="1" x14ac:dyDescent="0.35">
      <c r="B22" s="22"/>
      <c r="C22" s="5"/>
      <c r="D22" s="29"/>
      <c r="E22" s="15"/>
      <c r="F22" s="47"/>
      <c r="G22" s="2"/>
    </row>
    <row r="23" spans="1:15" ht="15" customHeight="1" x14ac:dyDescent="0.35">
      <c r="B23" s="23" t="s">
        <v>79</v>
      </c>
      <c r="C23" s="5" t="s">
        <v>275</v>
      </c>
      <c r="D23" s="41" t="s">
        <v>499</v>
      </c>
      <c r="E23" s="15"/>
      <c r="F23" s="47"/>
      <c r="G23" s="2"/>
    </row>
    <row r="24" spans="1:15" s="2" customFormat="1" ht="15" customHeight="1" x14ac:dyDescent="0.35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35">
      <c r="B25" s="23" t="s">
        <v>80</v>
      </c>
      <c r="C25" s="5" t="s">
        <v>493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 x14ac:dyDescent="0.35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B27" s="22" t="s">
        <v>81</v>
      </c>
      <c r="C27" s="15" t="s">
        <v>466</v>
      </c>
      <c r="D27" s="42" t="s">
        <v>403</v>
      </c>
      <c r="E27" s="39"/>
      <c r="F27" s="11"/>
    </row>
    <row r="28" spans="1:15" x14ac:dyDescent="0.35">
      <c r="B28" s="15"/>
      <c r="C28" s="66" t="s">
        <v>515</v>
      </c>
      <c r="D28" s="48" t="str">
        <f>IF(D27&lt;&gt;C28,VLOOKUP(D27,$C$29:$D$48,2,FALSE),C28)</f>
        <v>Musternetz 1</v>
      </c>
      <c r="E28" s="38"/>
      <c r="F28" s="11"/>
      <c r="G28" s="2"/>
    </row>
    <row r="29" spans="1:15" x14ac:dyDescent="0.35">
      <c r="B29" s="15"/>
      <c r="C29" s="22" t="s">
        <v>403</v>
      </c>
      <c r="D29" s="45" t="s">
        <v>516</v>
      </c>
      <c r="E29" s="40"/>
      <c r="F29" s="11"/>
      <c r="G29" s="2"/>
    </row>
    <row r="30" spans="1:15" x14ac:dyDescent="0.35">
      <c r="B30" s="15"/>
      <c r="C30" s="22" t="s">
        <v>404</v>
      </c>
      <c r="D30" s="45" t="s">
        <v>517</v>
      </c>
      <c r="E30" s="40"/>
      <c r="F30" s="47"/>
      <c r="G30" s="2"/>
    </row>
    <row r="31" spans="1:15" x14ac:dyDescent="0.35">
      <c r="B31" s="15"/>
      <c r="C31" s="22" t="s">
        <v>429</v>
      </c>
      <c r="D31" s="46"/>
      <c r="E31" s="40"/>
      <c r="F31" s="47"/>
      <c r="G31" s="2"/>
    </row>
    <row r="32" spans="1:15" x14ac:dyDescent="0.35">
      <c r="B32" s="15"/>
      <c r="C32" s="22" t="s">
        <v>430</v>
      </c>
      <c r="D32" s="46"/>
      <c r="E32" s="40"/>
      <c r="F32" s="47"/>
      <c r="G32" s="2"/>
    </row>
    <row r="33" spans="2:7" x14ac:dyDescent="0.35">
      <c r="B33" s="15"/>
      <c r="C33" s="22" t="s">
        <v>431</v>
      </c>
      <c r="D33" s="45"/>
      <c r="E33" s="40"/>
      <c r="F33" s="47"/>
      <c r="G33" s="2"/>
    </row>
    <row r="34" spans="2:7" x14ac:dyDescent="0.35">
      <c r="B34" s="15"/>
      <c r="C34" s="22" t="s">
        <v>432</v>
      </c>
      <c r="D34" s="46"/>
      <c r="E34" s="40"/>
      <c r="F34" s="47"/>
      <c r="G34" s="2"/>
    </row>
    <row r="35" spans="2:7" x14ac:dyDescent="0.35">
      <c r="B35" s="15"/>
      <c r="C35" s="22" t="s">
        <v>433</v>
      </c>
      <c r="D35" s="46"/>
      <c r="E35" s="40"/>
      <c r="F35" s="47"/>
      <c r="G35" s="2"/>
    </row>
    <row r="36" spans="2:7" x14ac:dyDescent="0.35">
      <c r="B36" s="15"/>
      <c r="C36" s="22" t="s">
        <v>434</v>
      </c>
      <c r="D36" s="46"/>
      <c r="E36" s="40"/>
      <c r="F36" s="47"/>
      <c r="G36" s="2"/>
    </row>
    <row r="37" spans="2:7" x14ac:dyDescent="0.35">
      <c r="B37" s="15"/>
      <c r="C37" s="22" t="s">
        <v>435</v>
      </c>
      <c r="D37" s="46"/>
      <c r="E37" s="40"/>
      <c r="F37" s="47"/>
      <c r="G37" s="2"/>
    </row>
    <row r="38" spans="2:7" x14ac:dyDescent="0.35">
      <c r="B38" s="15"/>
      <c r="C38" s="22" t="s">
        <v>438</v>
      </c>
      <c r="D38" s="46"/>
      <c r="E38" s="40"/>
      <c r="F38" s="47"/>
      <c r="G38" s="2"/>
    </row>
    <row r="39" spans="2:7" x14ac:dyDescent="0.35">
      <c r="B39" s="15"/>
      <c r="C39" s="22" t="s">
        <v>439</v>
      </c>
      <c r="D39" s="46"/>
      <c r="E39" s="40"/>
      <c r="F39" s="47"/>
      <c r="G39" s="2"/>
    </row>
    <row r="40" spans="2:7" x14ac:dyDescent="0.35">
      <c r="B40" s="15"/>
      <c r="C40" s="22" t="s">
        <v>440</v>
      </c>
      <c r="D40" s="46"/>
      <c r="E40" s="40"/>
      <c r="F40" s="47"/>
      <c r="G40" s="2"/>
    </row>
    <row r="41" spans="2:7" x14ac:dyDescent="0.35">
      <c r="B41" s="15"/>
      <c r="C41" s="22" t="s">
        <v>441</v>
      </c>
      <c r="D41" s="46"/>
      <c r="E41" s="40"/>
      <c r="F41" s="47"/>
      <c r="G41" s="2"/>
    </row>
    <row r="42" spans="2:7" x14ac:dyDescent="0.35">
      <c r="B42" s="15"/>
      <c r="C42" s="22" t="s">
        <v>442</v>
      </c>
      <c r="D42" s="46"/>
      <c r="E42" s="40"/>
      <c r="F42" s="47"/>
      <c r="G42" s="2"/>
    </row>
    <row r="43" spans="2:7" x14ac:dyDescent="0.35">
      <c r="B43" s="15"/>
      <c r="C43" s="22" t="s">
        <v>443</v>
      </c>
      <c r="D43" s="46"/>
      <c r="E43" s="40"/>
      <c r="F43" s="47"/>
      <c r="G43" s="2"/>
    </row>
    <row r="44" spans="2:7" x14ac:dyDescent="0.35">
      <c r="B44" s="15"/>
      <c r="C44" s="22" t="s">
        <v>444</v>
      </c>
      <c r="D44" s="46"/>
      <c r="E44" s="40"/>
      <c r="F44" s="47"/>
      <c r="G44" s="2"/>
    </row>
    <row r="45" spans="2:7" x14ac:dyDescent="0.35">
      <c r="B45" s="15"/>
      <c r="C45" s="22" t="s">
        <v>445</v>
      </c>
      <c r="D45" s="46"/>
      <c r="E45" s="40"/>
      <c r="F45" s="47"/>
      <c r="G45" s="2"/>
    </row>
    <row r="46" spans="2:7" x14ac:dyDescent="0.35">
      <c r="B46" s="15"/>
      <c r="C46" s="22" t="s">
        <v>446</v>
      </c>
      <c r="D46" s="46"/>
      <c r="E46" s="40"/>
      <c r="F46" s="47"/>
    </row>
    <row r="47" spans="2:7" x14ac:dyDescent="0.35">
      <c r="B47" s="15"/>
      <c r="C47" s="22" t="s">
        <v>447</v>
      </c>
      <c r="D47" s="46"/>
      <c r="E47" s="40"/>
      <c r="F47" s="47"/>
    </row>
    <row r="48" spans="2:7" x14ac:dyDescent="0.35">
      <c r="B48" s="15"/>
      <c r="C48" s="22" t="s">
        <v>448</v>
      </c>
      <c r="D48" s="46"/>
      <c r="E48" s="40"/>
      <c r="F48" s="47"/>
    </row>
    <row r="49" spans="2:6" x14ac:dyDescent="0.35">
      <c r="B49" s="15"/>
      <c r="C49" s="15"/>
      <c r="D49" s="15"/>
      <c r="E49" s="15"/>
      <c r="F49" s="15"/>
    </row>
    <row r="50" spans="2:6" x14ac:dyDescent="0.35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34" zoomScale="80" zoomScaleNormal="80" workbookViewId="0">
      <selection activeCell="D28" sqref="D28"/>
    </sheetView>
  </sheetViews>
  <sheetFormatPr baseColWidth="10" defaultColWidth="0" defaultRowHeight="18" customHeight="1" x14ac:dyDescent="0.35"/>
  <cols>
    <col min="1" max="1" width="2.81640625" style="8" customWidth="1"/>
    <col min="2" max="2" width="5.81640625" style="8" customWidth="1"/>
    <col min="3" max="3" width="51.453125" style="8" customWidth="1"/>
    <col min="4" max="4" width="33.1796875" style="8" customWidth="1"/>
    <col min="5" max="5" width="26.54296875" style="8" customWidth="1"/>
    <col min="6" max="39" width="8.81640625" style="13" hidden="1" customWidth="1"/>
    <col min="40" max="16384" width="8.81640625" style="8" hidden="1"/>
  </cols>
  <sheetData>
    <row r="1" spans="2:15" ht="75" customHeight="1" x14ac:dyDescent="0.35"/>
    <row r="2" spans="2:15" ht="23.5" x14ac:dyDescent="0.55000000000000004">
      <c r="B2" s="9" t="s">
        <v>276</v>
      </c>
    </row>
    <row r="3" spans="2:15" ht="14.5" x14ac:dyDescent="0.35"/>
    <row r="4" spans="2:15" ht="14.5" x14ac:dyDescent="0.35">
      <c r="B4" s="15"/>
      <c r="C4" s="15"/>
      <c r="D4" s="15"/>
      <c r="E4" s="15"/>
    </row>
    <row r="5" spans="2:15" ht="15" customHeight="1" x14ac:dyDescent="0.35">
      <c r="B5" s="22"/>
      <c r="C5" s="56" t="s">
        <v>452</v>
      </c>
      <c r="D5" s="58" t="str">
        <f>Netzbetreiber!$D$9</f>
        <v>Netzbetreiber Musterstadt GmbH</v>
      </c>
      <c r="H5" s="68"/>
      <c r="I5" s="68"/>
      <c r="J5" s="68"/>
      <c r="K5" s="68"/>
    </row>
    <row r="6" spans="2:15" ht="15" customHeight="1" x14ac:dyDescent="0.35">
      <c r="B6" s="22"/>
      <c r="C6" s="62" t="s">
        <v>451</v>
      </c>
      <c r="D6" s="58" t="str">
        <f>Netzbetreiber!D28</f>
        <v>Musternetz 1</v>
      </c>
      <c r="E6" s="15"/>
      <c r="H6" s="68"/>
      <c r="I6" s="68"/>
      <c r="J6" s="68"/>
      <c r="K6" s="68"/>
    </row>
    <row r="7" spans="2:15" ht="15" customHeight="1" x14ac:dyDescent="0.35">
      <c r="B7" s="22"/>
      <c r="C7" s="60" t="s">
        <v>500</v>
      </c>
      <c r="D7" s="61">
        <f>Netzbetreiber!$D$11</f>
        <v>123456789</v>
      </c>
      <c r="E7" s="15"/>
      <c r="H7" s="68"/>
      <c r="I7" s="68"/>
      <c r="J7" s="68"/>
      <c r="K7" s="68"/>
    </row>
    <row r="8" spans="2:15" ht="15" customHeight="1" x14ac:dyDescent="0.35">
      <c r="B8" s="22"/>
      <c r="C8" s="56" t="s">
        <v>134</v>
      </c>
      <c r="D8" s="50">
        <f>Netzbetreiber!$D$6</f>
        <v>44470</v>
      </c>
      <c r="E8" s="15"/>
      <c r="H8" s="68"/>
      <c r="I8" s="68"/>
      <c r="J8" s="68"/>
      <c r="K8" s="68"/>
    </row>
    <row r="9" spans="2:15" ht="15" customHeight="1" x14ac:dyDescent="0.35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 x14ac:dyDescent="0.35">
      <c r="B10" s="15"/>
      <c r="C10" s="15"/>
      <c r="D10" s="15"/>
      <c r="E10" s="15"/>
    </row>
    <row r="11" spans="2:15" ht="15" customHeight="1" x14ac:dyDescent="0.35">
      <c r="B11" s="7">
        <v>11</v>
      </c>
      <c r="C11" s="5" t="s">
        <v>638</v>
      </c>
      <c r="D11" s="33" t="s">
        <v>639</v>
      </c>
      <c r="E11" s="15"/>
      <c r="H11" s="277" t="s">
        <v>639</v>
      </c>
      <c r="I11" s="277" t="s">
        <v>640</v>
      </c>
      <c r="J11" s="68"/>
      <c r="K11" s="68"/>
    </row>
    <row r="12" spans="2:15" ht="15" customHeight="1" x14ac:dyDescent="0.35">
      <c r="B12" s="22"/>
      <c r="C12" s="5"/>
      <c r="D12" s="29"/>
      <c r="E12" s="15"/>
      <c r="H12" s="68"/>
      <c r="I12" s="68"/>
      <c r="J12" s="68"/>
      <c r="K12" s="68"/>
    </row>
    <row r="13" spans="2:15" ht="15" customHeight="1" x14ac:dyDescent="0.35">
      <c r="B13" s="7" t="s">
        <v>83</v>
      </c>
      <c r="C13" s="5" t="s">
        <v>676</v>
      </c>
      <c r="D13" s="42"/>
      <c r="E13" s="15"/>
      <c r="H13" s="68"/>
      <c r="I13" s="68"/>
      <c r="J13" s="68"/>
      <c r="K13" s="68"/>
    </row>
    <row r="14" spans="2:15" ht="15" customHeight="1" x14ac:dyDescent="0.35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 x14ac:dyDescent="0.35">
      <c r="B15" s="7" t="s">
        <v>84</v>
      </c>
      <c r="C15" s="31" t="s">
        <v>376</v>
      </c>
      <c r="D15" s="49" t="s">
        <v>267</v>
      </c>
      <c r="E15" s="15"/>
      <c r="H15" s="275" t="s">
        <v>267</v>
      </c>
      <c r="I15" s="275" t="s">
        <v>136</v>
      </c>
      <c r="J15" s="273"/>
      <c r="K15" s="273"/>
      <c r="L15" s="274"/>
    </row>
    <row r="16" spans="2:15" ht="15" customHeight="1" x14ac:dyDescent="0.35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595</v>
      </c>
      <c r="I16" s="276" t="s">
        <v>501</v>
      </c>
      <c r="J16" s="273"/>
      <c r="K16" s="273"/>
      <c r="L16" s="274"/>
    </row>
    <row r="17" spans="2:16" ht="15" customHeight="1" x14ac:dyDescent="0.35">
      <c r="B17" s="22"/>
      <c r="C17" s="32" t="str">
        <f>HLOOKUP($D$15,$H$15:$I$17,3,0)</f>
        <v>=&gt; Zeitreihentyp SLPsyn</v>
      </c>
      <c r="D17" s="16"/>
      <c r="E17" s="15"/>
      <c r="H17" s="276" t="s">
        <v>502</v>
      </c>
      <c r="I17" s="276" t="s">
        <v>503</v>
      </c>
      <c r="J17" s="273"/>
      <c r="K17" s="273"/>
      <c r="L17" s="274"/>
    </row>
    <row r="18" spans="2:16" ht="15" customHeight="1" x14ac:dyDescent="0.35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 x14ac:dyDescent="0.35">
      <c r="B19" s="7" t="s">
        <v>85</v>
      </c>
      <c r="C19" s="8" t="s">
        <v>636</v>
      </c>
      <c r="D19" s="49" t="s">
        <v>632</v>
      </c>
      <c r="E19" s="15"/>
      <c r="H19" s="273" t="s">
        <v>632</v>
      </c>
      <c r="I19" s="273" t="s">
        <v>633</v>
      </c>
      <c r="J19" s="273"/>
      <c r="K19" s="8"/>
      <c r="L19" s="274"/>
    </row>
    <row r="20" spans="2:16" ht="15" customHeight="1" x14ac:dyDescent="0.35">
      <c r="B20" s="7"/>
      <c r="C20" s="8" t="str">
        <f>HLOOKUP(D19,H19:I20,2,0)</f>
        <v>nach TU-München Verfahren</v>
      </c>
      <c r="D20" s="49" t="s">
        <v>634</v>
      </c>
      <c r="E20" s="15"/>
      <c r="H20" s="273" t="s">
        <v>635</v>
      </c>
      <c r="I20" s="8" t="s">
        <v>631</v>
      </c>
      <c r="J20" s="8"/>
      <c r="K20" s="8"/>
      <c r="L20" s="274"/>
    </row>
    <row r="21" spans="2:16" ht="15" customHeight="1" x14ac:dyDescent="0.35">
      <c r="B21" s="22"/>
      <c r="C21" s="24" t="s">
        <v>637</v>
      </c>
      <c r="D21" s="24" t="str">
        <f>IF(D19=$H$19,L21,IF(D20=$H$21,M21,N21))</f>
        <v>=&gt;  Q(D) = KW  x  h(T, SLP-Typ)  x  F(WT)</v>
      </c>
      <c r="E21" s="15"/>
      <c r="H21" s="273" t="s">
        <v>634</v>
      </c>
      <c r="I21" s="273" t="s">
        <v>641</v>
      </c>
      <c r="J21" s="8"/>
      <c r="K21" s="8"/>
      <c r="L21" s="276" t="s">
        <v>642</v>
      </c>
      <c r="M21" s="276" t="s">
        <v>644</v>
      </c>
      <c r="N21" s="276" t="s">
        <v>643</v>
      </c>
      <c r="O21" s="8"/>
      <c r="P21" s="274"/>
    </row>
    <row r="22" spans="2:16" ht="15" customHeight="1" x14ac:dyDescent="0.35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 x14ac:dyDescent="0.35">
      <c r="B23" s="7" t="s">
        <v>86</v>
      </c>
      <c r="C23" s="6" t="s">
        <v>598</v>
      </c>
      <c r="D23" s="42" t="s">
        <v>137</v>
      </c>
      <c r="E23" s="15"/>
      <c r="H23" s="275" t="s">
        <v>135</v>
      </c>
      <c r="I23" s="275" t="s">
        <v>137</v>
      </c>
      <c r="J23" s="273"/>
      <c r="K23" s="273"/>
      <c r="L23" s="274"/>
    </row>
    <row r="24" spans="2:16" ht="15" customHeight="1" x14ac:dyDescent="0.35">
      <c r="B24" s="7"/>
      <c r="C24" s="6" t="s">
        <v>645</v>
      </c>
      <c r="D24" s="42" t="s">
        <v>646</v>
      </c>
      <c r="E24" s="15"/>
      <c r="H24" s="309" t="s">
        <v>646</v>
      </c>
      <c r="I24" s="275" t="s">
        <v>647</v>
      </c>
      <c r="J24" s="275" t="s">
        <v>648</v>
      </c>
      <c r="K24" s="273"/>
      <c r="L24" s="274"/>
    </row>
    <row r="25" spans="2:16" ht="15" customHeight="1" x14ac:dyDescent="0.35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649</v>
      </c>
      <c r="I25" s="276" t="s">
        <v>650</v>
      </c>
      <c r="J25" s="276" t="s">
        <v>651</v>
      </c>
      <c r="K25" s="273"/>
      <c r="L25" s="274"/>
    </row>
    <row r="26" spans="2:16" ht="15" customHeight="1" x14ac:dyDescent="0.35">
      <c r="B26" s="22"/>
      <c r="C26" s="15" t="str">
        <f>HLOOKUP(D24,H24:J26,3,0)</f>
        <v xml:space="preserve"> </v>
      </c>
      <c r="D26" s="311"/>
      <c r="E26" s="15"/>
      <c r="H26" s="276" t="s">
        <v>652</v>
      </c>
      <c r="I26" s="276" t="s">
        <v>653</v>
      </c>
      <c r="J26" s="276" t="s">
        <v>654</v>
      </c>
      <c r="K26" s="273"/>
      <c r="L26" s="274"/>
    </row>
    <row r="27" spans="2:16" ht="15" customHeight="1" x14ac:dyDescent="0.35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 x14ac:dyDescent="0.35">
      <c r="B28" s="7" t="s">
        <v>378</v>
      </c>
      <c r="C28" s="6" t="s">
        <v>597</v>
      </c>
      <c r="D28" s="42" t="s">
        <v>137</v>
      </c>
      <c r="E28" s="15"/>
      <c r="H28" s="275" t="s">
        <v>135</v>
      </c>
      <c r="I28" s="275" t="s">
        <v>137</v>
      </c>
      <c r="J28" s="273"/>
      <c r="K28" s="273"/>
      <c r="L28" s="274"/>
    </row>
    <row r="29" spans="2:16" ht="15" customHeight="1" x14ac:dyDescent="0.35">
      <c r="B29" s="22"/>
      <c r="C29" s="15" t="str">
        <f>HLOOKUP(D28,$H$28:$I$29,2,0)</f>
        <v>=&gt; Q(Allokation)  =  Q(D-2);  F(opt) = 1</v>
      </c>
      <c r="D29" s="15"/>
      <c r="E29" s="15"/>
      <c r="H29" s="276" t="s">
        <v>655</v>
      </c>
      <c r="I29" s="276" t="s">
        <v>656</v>
      </c>
      <c r="J29" s="273"/>
      <c r="K29" s="273"/>
      <c r="L29" s="274"/>
    </row>
    <row r="30" spans="2:16" ht="15" customHeight="1" x14ac:dyDescent="0.35">
      <c r="B30" s="22"/>
      <c r="C30" s="15" t="str">
        <f>HLOOKUP(D28,$H$28:$I$30,3,0)</f>
        <v xml:space="preserve"> </v>
      </c>
      <c r="D30" s="15"/>
      <c r="E30" s="15"/>
      <c r="H30" s="276" t="s">
        <v>657</v>
      </c>
      <c r="I30" s="273" t="s">
        <v>652</v>
      </c>
      <c r="J30" s="273"/>
      <c r="K30" s="273"/>
      <c r="L30" s="274"/>
    </row>
    <row r="31" spans="2:16" ht="15" customHeight="1" x14ac:dyDescent="0.35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 x14ac:dyDescent="0.35">
      <c r="B32" s="23" t="s">
        <v>506</v>
      </c>
      <c r="C32" s="24" t="s">
        <v>509</v>
      </c>
      <c r="D32" s="269">
        <v>15</v>
      </c>
      <c r="E32" s="15"/>
      <c r="H32" s="273"/>
      <c r="I32" s="273"/>
      <c r="J32" s="273"/>
      <c r="K32" s="273"/>
      <c r="L32" s="274"/>
    </row>
    <row r="33" spans="2:39" ht="15" customHeight="1" x14ac:dyDescent="0.35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 x14ac:dyDescent="0.35">
      <c r="B34" s="7" t="s">
        <v>569</v>
      </c>
      <c r="C34" s="5" t="s">
        <v>373</v>
      </c>
      <c r="D34" s="34">
        <v>1500000</v>
      </c>
      <c r="E34" s="15" t="s">
        <v>524</v>
      </c>
      <c r="I34" s="273"/>
      <c r="J34" s="273"/>
      <c r="K34" s="273"/>
      <c r="L34" s="273"/>
      <c r="M34" s="274"/>
    </row>
    <row r="35" spans="2:39" customFormat="1" ht="15" customHeight="1" x14ac:dyDescent="0.35">
      <c r="C35" s="8" t="s">
        <v>504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 x14ac:dyDescent="0.35">
      <c r="B36" s="15"/>
      <c r="C36" s="35"/>
      <c r="D36" s="29"/>
      <c r="E36" s="15"/>
      <c r="H36" s="68"/>
      <c r="I36" s="68"/>
      <c r="J36" s="68"/>
      <c r="K36" s="68"/>
    </row>
    <row r="37" spans="2:39" ht="15" customHeight="1" x14ac:dyDescent="0.35">
      <c r="B37" s="7" t="s">
        <v>570</v>
      </c>
      <c r="C37" s="5" t="s">
        <v>374</v>
      </c>
      <c r="D37" s="36">
        <v>500</v>
      </c>
      <c r="E37" s="15" t="s">
        <v>561</v>
      </c>
      <c r="H37" s="68"/>
      <c r="I37" s="68"/>
      <c r="J37" s="68"/>
      <c r="K37" s="68"/>
    </row>
    <row r="38" spans="2:39" ht="15" customHeight="1" x14ac:dyDescent="0.35">
      <c r="C38" s="8" t="s">
        <v>505</v>
      </c>
    </row>
    <row r="39" spans="2:39" ht="15" customHeight="1" x14ac:dyDescent="0.35">
      <c r="B39" s="7"/>
      <c r="C39" s="3"/>
    </row>
    <row r="40" spans="2:39" ht="15" customHeight="1" x14ac:dyDescent="0.35">
      <c r="B40" s="7"/>
      <c r="C40" s="3" t="s">
        <v>560</v>
      </c>
    </row>
    <row r="41" spans="2:39" ht="18" customHeight="1" x14ac:dyDescent="0.35">
      <c r="C41" s="3" t="s">
        <v>562</v>
      </c>
    </row>
    <row r="42" spans="2:39" ht="18" customHeight="1" x14ac:dyDescent="0.35">
      <c r="C42" s="3"/>
    </row>
    <row r="43" spans="2:39" ht="15" customHeight="1" x14ac:dyDescent="0.35">
      <c r="B43" s="22" t="s">
        <v>571</v>
      </c>
      <c r="C43" s="60" t="s">
        <v>596</v>
      </c>
      <c r="D43" s="42">
        <v>2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 x14ac:dyDescent="0.35">
      <c r="B44" s="22"/>
      <c r="C44" s="24"/>
      <c r="D44" s="15"/>
      <c r="E44" s="15"/>
      <c r="H44" s="13">
        <f>IF(H43&lt;=$D$43,H43,"")</f>
        <v>1</v>
      </c>
      <c r="I44" s="13">
        <f t="shared" ref="I44:V44" si="0">IF(I43&lt;=$D$43,I43,"")</f>
        <v>2</v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 x14ac:dyDescent="0.35">
      <c r="C45" s="22" t="s">
        <v>607</v>
      </c>
      <c r="D45" s="45" t="s">
        <v>622</v>
      </c>
    </row>
    <row r="46" spans="2:39" ht="18" customHeight="1" x14ac:dyDescent="0.35">
      <c r="C46" s="22" t="s">
        <v>608</v>
      </c>
      <c r="D46" s="45" t="s">
        <v>625</v>
      </c>
    </row>
    <row r="47" spans="2:39" ht="18" customHeight="1" x14ac:dyDescent="0.35">
      <c r="C47" s="22" t="s">
        <v>609</v>
      </c>
      <c r="D47" s="45"/>
    </row>
    <row r="48" spans="2:39" ht="18" customHeight="1" x14ac:dyDescent="0.35">
      <c r="C48" s="22" t="s">
        <v>610</v>
      </c>
      <c r="D48" s="45"/>
    </row>
    <row r="49" spans="3:4" ht="18" customHeight="1" x14ac:dyDescent="0.35">
      <c r="C49" s="22" t="s">
        <v>611</v>
      </c>
      <c r="D49" s="45"/>
    </row>
    <row r="50" spans="3:4" ht="18" customHeight="1" x14ac:dyDescent="0.35">
      <c r="C50" s="22" t="s">
        <v>612</v>
      </c>
      <c r="D50" s="45"/>
    </row>
    <row r="51" spans="3:4" ht="18" customHeight="1" x14ac:dyDescent="0.35">
      <c r="C51" s="22" t="s">
        <v>613</v>
      </c>
      <c r="D51" s="45"/>
    </row>
    <row r="52" spans="3:4" ht="18" customHeight="1" x14ac:dyDescent="0.35">
      <c r="C52" s="22" t="s">
        <v>614</v>
      </c>
      <c r="D52" s="45"/>
    </row>
    <row r="53" spans="3:4" ht="18" customHeight="1" x14ac:dyDescent="0.35">
      <c r="C53" s="22" t="s">
        <v>615</v>
      </c>
      <c r="D53" s="45"/>
    </row>
    <row r="54" spans="3:4" ht="18" customHeight="1" x14ac:dyDescent="0.35">
      <c r="C54" s="22" t="s">
        <v>616</v>
      </c>
      <c r="D54" s="45"/>
    </row>
    <row r="55" spans="3:4" ht="18" customHeight="1" x14ac:dyDescent="0.35">
      <c r="C55" s="22" t="s">
        <v>617</v>
      </c>
      <c r="D55" s="45"/>
    </row>
    <row r="56" spans="3:4" ht="18" customHeight="1" x14ac:dyDescent="0.35">
      <c r="C56" s="22" t="s">
        <v>618</v>
      </c>
      <c r="D56" s="45"/>
    </row>
    <row r="57" spans="3:4" ht="18" customHeight="1" x14ac:dyDescent="0.35">
      <c r="C57" s="22" t="s">
        <v>619</v>
      </c>
      <c r="D57" s="45"/>
    </row>
    <row r="58" spans="3:4" ht="18" customHeight="1" x14ac:dyDescent="0.35">
      <c r="C58" s="22" t="s">
        <v>620</v>
      </c>
      <c r="D58" s="45"/>
    </row>
    <row r="59" spans="3:4" ht="18" customHeight="1" x14ac:dyDescent="0.35">
      <c r="C59" s="22" t="s">
        <v>621</v>
      </c>
      <c r="D59" s="45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3" zoomScaleNormal="100" workbookViewId="0">
      <selection activeCell="E26" sqref="E26"/>
    </sheetView>
  </sheetViews>
  <sheetFormatPr baseColWidth="10" defaultColWidth="0" defaultRowHeight="14.5" zeroHeight="1" x14ac:dyDescent="0.35"/>
  <cols>
    <col min="1" max="1" width="2.81640625" style="129" customWidth="1"/>
    <col min="2" max="2" width="5.453125" style="129" customWidth="1"/>
    <col min="3" max="3" width="37.54296875" style="129" customWidth="1"/>
    <col min="4" max="4" width="12.54296875" style="129" customWidth="1"/>
    <col min="5" max="5" width="22" style="129" customWidth="1"/>
    <col min="6" max="14" width="12.7265625" style="129" customWidth="1"/>
    <col min="15" max="15" width="34.1796875" style="129" customWidth="1"/>
    <col min="16" max="16" width="7.26953125" style="171" hidden="1" customWidth="1"/>
    <col min="17" max="18" width="7.26953125" style="210" hidden="1" customWidth="1"/>
    <col min="19" max="19" width="13.453125" style="210" hidden="1" customWidth="1"/>
    <col min="20" max="20" width="23.54296875" style="210" hidden="1" customWidth="1"/>
    <col min="21" max="21" width="5.453125" style="210" hidden="1" customWidth="1"/>
    <col min="22" max="22" width="5" style="210" hidden="1" customWidth="1"/>
    <col min="23" max="23" width="5.26953125" style="210" hidden="1" customWidth="1"/>
    <col min="24" max="24" width="5" style="210" hidden="1" customWidth="1"/>
    <col min="25" max="25" width="8.1796875" style="210" hidden="1" customWidth="1"/>
    <col min="26" max="26" width="11.7265625" style="210" hidden="1" customWidth="1"/>
    <col min="27" max="27" width="8.8164062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53125" style="57" hidden="1" customWidth="1"/>
    <col min="38" max="38" width="4" style="57" hidden="1" customWidth="1"/>
    <col min="39" max="47" width="4.453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 x14ac:dyDescent="0.35"/>
    <row r="2" spans="1:56" ht="23.5" x14ac:dyDescent="0.55000000000000004">
      <c r="B2" s="172" t="s">
        <v>564</v>
      </c>
    </row>
    <row r="3" spans="1:56" ht="15" customHeight="1" x14ac:dyDescent="0.55000000000000004">
      <c r="B3" s="172"/>
    </row>
    <row r="4" spans="1:56" x14ac:dyDescent="0.35">
      <c r="B4" s="131"/>
      <c r="C4" s="56" t="s">
        <v>452</v>
      </c>
      <c r="D4" s="57"/>
      <c r="E4" s="58" t="s">
        <v>494</v>
      </c>
      <c r="F4" s="131"/>
      <c r="M4" s="131"/>
      <c r="N4" s="131"/>
      <c r="O4" s="131"/>
    </row>
    <row r="5" spans="1:56" x14ac:dyDescent="0.35">
      <c r="B5" s="131"/>
      <c r="C5" s="56" t="s">
        <v>451</v>
      </c>
      <c r="D5" s="57"/>
      <c r="E5" s="58" t="str">
        <f>Netzbetreiber!D28</f>
        <v>Musternetz 1</v>
      </c>
      <c r="F5" s="131"/>
      <c r="G5" s="131"/>
      <c r="H5" s="131"/>
      <c r="M5" s="131"/>
      <c r="N5" s="131"/>
      <c r="O5" s="131"/>
    </row>
    <row r="6" spans="1:56" x14ac:dyDescent="0.35">
      <c r="B6" s="131"/>
      <c r="C6" s="60" t="s">
        <v>500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 x14ac:dyDescent="0.35">
      <c r="B7" s="131"/>
      <c r="C7" s="56" t="s">
        <v>134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 x14ac:dyDescent="0.35">
      <c r="B8" s="131"/>
      <c r="C8" s="131"/>
      <c r="D8" s="131"/>
      <c r="E8" s="131"/>
      <c r="F8" s="131"/>
      <c r="G8" s="131"/>
      <c r="H8" s="89" t="s">
        <v>511</v>
      </c>
      <c r="J8" s="131"/>
      <c r="K8" s="131"/>
      <c r="L8" s="131"/>
      <c r="M8" s="131"/>
      <c r="N8" s="131"/>
      <c r="O8" s="131"/>
    </row>
    <row r="9" spans="1:56" x14ac:dyDescent="0.35">
      <c r="B9" s="131"/>
      <c r="C9" s="60" t="s">
        <v>542</v>
      </c>
      <c r="D9" s="131"/>
      <c r="E9" s="131"/>
      <c r="F9" s="155">
        <f>'SLP-Verfahren'!D43</f>
        <v>2</v>
      </c>
      <c r="H9" s="173" t="s">
        <v>623</v>
      </c>
      <c r="J9" s="131"/>
      <c r="K9" s="131"/>
      <c r="L9" s="131"/>
      <c r="M9" s="131"/>
      <c r="N9" s="131"/>
      <c r="O9" s="131"/>
    </row>
    <row r="10" spans="1:56" x14ac:dyDescent="0.35">
      <c r="B10" s="131"/>
      <c r="C10" s="56" t="s">
        <v>606</v>
      </c>
      <c r="D10" s="131"/>
      <c r="E10" s="131"/>
      <c r="F10" s="300">
        <v>1</v>
      </c>
      <c r="G10" s="57"/>
      <c r="H10" s="173" t="s">
        <v>624</v>
      </c>
      <c r="J10" s="131"/>
      <c r="K10" s="131"/>
      <c r="L10" s="131"/>
      <c r="M10" s="131"/>
      <c r="N10" s="131"/>
      <c r="O10" s="131"/>
    </row>
    <row r="11" spans="1:56" x14ac:dyDescent="0.35">
      <c r="B11" s="131"/>
      <c r="C11" s="56" t="s">
        <v>626</v>
      </c>
      <c r="D11" s="131"/>
      <c r="E11" s="131"/>
      <c r="F11" s="297" t="str">
        <f>INDEX('SLP-Verfahren'!D45:D59,'SLP-Temp-Gebiet #01'!F10)</f>
        <v>Muster-Temp.gebiet 1</v>
      </c>
      <c r="G11" s="301"/>
      <c r="H11" s="299"/>
      <c r="J11" s="131"/>
      <c r="K11" s="131"/>
      <c r="L11" s="131"/>
      <c r="M11" s="131"/>
      <c r="N11" s="131"/>
      <c r="O11" s="131"/>
    </row>
    <row r="12" spans="1:56" x14ac:dyDescent="0.35"/>
    <row r="13" spans="1:56" ht="18" customHeight="1" x14ac:dyDescent="0.35">
      <c r="B13" s="131"/>
      <c r="C13" s="348" t="s">
        <v>605</v>
      </c>
      <c r="D13" s="348"/>
      <c r="E13" s="348"/>
      <c r="F13" s="184" t="s">
        <v>568</v>
      </c>
      <c r="G13" s="131" t="s">
        <v>566</v>
      </c>
      <c r="H13" s="266" t="s">
        <v>583</v>
      </c>
      <c r="I13" s="57"/>
      <c r="J13" s="131"/>
      <c r="K13" s="131"/>
      <c r="L13" s="131"/>
      <c r="M13" s="131"/>
      <c r="N13" s="131"/>
      <c r="O13" s="131"/>
    </row>
    <row r="14" spans="1:56" ht="19.5" customHeight="1" x14ac:dyDescent="0.35">
      <c r="B14" s="131"/>
      <c r="C14" s="349" t="s">
        <v>455</v>
      </c>
      <c r="D14" s="349"/>
      <c r="E14" s="90" t="s">
        <v>456</v>
      </c>
      <c r="F14" s="267" t="s">
        <v>86</v>
      </c>
      <c r="G14" s="268" t="s">
        <v>592</v>
      </c>
      <c r="H14" s="51">
        <v>0</v>
      </c>
      <c r="I14" s="57"/>
      <c r="J14" s="131"/>
      <c r="K14" s="131"/>
      <c r="L14" s="131"/>
      <c r="M14" s="131"/>
      <c r="N14" s="131"/>
      <c r="O14" s="174" t="s">
        <v>547</v>
      </c>
      <c r="R14" s="210" t="s">
        <v>584</v>
      </c>
      <c r="S14" s="210" t="s">
        <v>585</v>
      </c>
      <c r="T14" s="210" t="s">
        <v>586</v>
      </c>
      <c r="U14" s="210" t="s">
        <v>587</v>
      </c>
      <c r="V14" s="210" t="s">
        <v>567</v>
      </c>
      <c r="W14" s="210" t="s">
        <v>588</v>
      </c>
      <c r="X14" s="210" t="s">
        <v>589</v>
      </c>
      <c r="Y14" s="210" t="s">
        <v>590</v>
      </c>
      <c r="Z14" s="210" t="s">
        <v>591</v>
      </c>
      <c r="AA14" s="210" t="s">
        <v>592</v>
      </c>
      <c r="AB14" s="210" t="s">
        <v>593</v>
      </c>
      <c r="AC14" s="210" t="s">
        <v>594</v>
      </c>
    </row>
    <row r="15" spans="1:56" ht="19.5" customHeight="1" x14ac:dyDescent="0.35">
      <c r="B15" s="131"/>
      <c r="C15" s="349" t="s">
        <v>395</v>
      </c>
      <c r="D15" s="349"/>
      <c r="E15" s="90" t="s">
        <v>456</v>
      </c>
      <c r="F15" s="267" t="s">
        <v>72</v>
      </c>
      <c r="G15" s="268" t="s">
        <v>586</v>
      </c>
      <c r="H15" s="51">
        <v>0</v>
      </c>
      <c r="I15" s="57"/>
      <c r="J15" s="131"/>
      <c r="K15" s="131"/>
      <c r="L15" s="131"/>
      <c r="M15" s="131"/>
      <c r="N15" s="131"/>
      <c r="O15" s="162" t="s">
        <v>548</v>
      </c>
      <c r="R15" s="265" t="s">
        <v>72</v>
      </c>
      <c r="S15" s="265" t="s">
        <v>73</v>
      </c>
      <c r="T15" s="265" t="s">
        <v>74</v>
      </c>
      <c r="U15" s="265" t="s">
        <v>75</v>
      </c>
      <c r="V15" s="265" t="s">
        <v>76</v>
      </c>
      <c r="W15" s="265" t="s">
        <v>77</v>
      </c>
      <c r="X15" s="265" t="s">
        <v>78</v>
      </c>
      <c r="Y15" s="265" t="s">
        <v>79</v>
      </c>
      <c r="Z15" s="265" t="s">
        <v>80</v>
      </c>
      <c r="AA15" s="265" t="s">
        <v>81</v>
      </c>
      <c r="AB15" s="265" t="s">
        <v>82</v>
      </c>
      <c r="AC15" s="265" t="s">
        <v>83</v>
      </c>
      <c r="AD15" s="265" t="s">
        <v>84</v>
      </c>
      <c r="AE15" s="265" t="s">
        <v>85</v>
      </c>
      <c r="AF15" s="265" t="s">
        <v>86</v>
      </c>
      <c r="AG15" s="265" t="s">
        <v>378</v>
      </c>
      <c r="AH15" s="265" t="s">
        <v>506</v>
      </c>
      <c r="AI15" s="265" t="s">
        <v>569</v>
      </c>
      <c r="AJ15" s="265" t="s">
        <v>570</v>
      </c>
      <c r="AK15" s="265" t="s">
        <v>571</v>
      </c>
      <c r="AL15" s="265" t="s">
        <v>572</v>
      </c>
      <c r="AM15" s="265" t="s">
        <v>573</v>
      </c>
      <c r="AN15" s="265" t="s">
        <v>574</v>
      </c>
      <c r="AO15" s="265" t="s">
        <v>575</v>
      </c>
      <c r="AP15" s="265" t="s">
        <v>576</v>
      </c>
      <c r="AQ15" s="265" t="s">
        <v>577</v>
      </c>
      <c r="AR15" s="265" t="s">
        <v>578</v>
      </c>
      <c r="AS15" s="265" t="s">
        <v>579</v>
      </c>
      <c r="AT15" s="265" t="s">
        <v>580</v>
      </c>
      <c r="AU15" s="265" t="s">
        <v>581</v>
      </c>
      <c r="AV15" s="265" t="s">
        <v>582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 x14ac:dyDescent="0.35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 x14ac:dyDescent="0.45">
      <c r="B17" s="177" t="s">
        <v>537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 x14ac:dyDescent="0.35">
      <c r="B18" s="131"/>
      <c r="C18" s="56" t="s">
        <v>543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 x14ac:dyDescent="0.35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 x14ac:dyDescent="0.35">
      <c r="B20" s="131"/>
      <c r="C20" s="180" t="s">
        <v>538</v>
      </c>
      <c r="D20" s="181" t="s">
        <v>533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145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x14ac:dyDescent="0.35">
      <c r="B21" s="184"/>
      <c r="C21" s="185" t="s">
        <v>545</v>
      </c>
      <c r="D21" s="154" t="s">
        <v>535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x14ac:dyDescent="0.35">
      <c r="B22" s="184"/>
      <c r="C22" s="185" t="s">
        <v>557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146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x14ac:dyDescent="0.35">
      <c r="B23" s="184"/>
      <c r="C23" s="188" t="s">
        <v>138</v>
      </c>
      <c r="D23" s="189"/>
      <c r="E23" s="157" t="s">
        <v>140</v>
      </c>
      <c r="F23" s="157" t="s">
        <v>140</v>
      </c>
      <c r="G23" s="157" t="s">
        <v>140</v>
      </c>
      <c r="H23" s="157" t="s">
        <v>140</v>
      </c>
      <c r="I23" s="157" t="s">
        <v>140</v>
      </c>
      <c r="J23" s="157" t="s">
        <v>140</v>
      </c>
      <c r="K23" s="157" t="s">
        <v>140</v>
      </c>
      <c r="L23" s="157" t="s">
        <v>140</v>
      </c>
      <c r="M23" s="157" t="s">
        <v>140</v>
      </c>
      <c r="N23" s="157" t="s">
        <v>140</v>
      </c>
      <c r="O23" s="186" t="s">
        <v>143</v>
      </c>
      <c r="Q23" s="212"/>
      <c r="R23" s="68" t="s">
        <v>140</v>
      </c>
      <c r="S23" s="68" t="s">
        <v>520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1:28" x14ac:dyDescent="0.35">
      <c r="B24" s="184"/>
      <c r="C24" s="188" t="s">
        <v>540</v>
      </c>
      <c r="D24" s="189"/>
      <c r="E24" s="157" t="s">
        <v>601</v>
      </c>
      <c r="F24" s="157" t="s">
        <v>602</v>
      </c>
      <c r="G24" s="157"/>
      <c r="H24" s="157"/>
      <c r="I24" s="157"/>
      <c r="J24" s="157"/>
      <c r="K24" s="157"/>
      <c r="L24" s="157"/>
      <c r="M24" s="157"/>
      <c r="N24" s="157"/>
      <c r="O24" s="186" t="s">
        <v>541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x14ac:dyDescent="0.35">
      <c r="B25" s="184"/>
      <c r="C25" s="188" t="s">
        <v>534</v>
      </c>
      <c r="D25" s="189"/>
      <c r="E25" s="161" t="s">
        <v>371</v>
      </c>
      <c r="F25" s="161" t="s">
        <v>371</v>
      </c>
      <c r="G25" s="161"/>
      <c r="H25" s="161"/>
      <c r="I25" s="161"/>
      <c r="J25" s="161"/>
      <c r="K25" s="161"/>
      <c r="L25" s="161"/>
      <c r="M25" s="161"/>
      <c r="N25" s="161"/>
      <c r="O25" s="186" t="s">
        <v>144</v>
      </c>
      <c r="Q25" s="212"/>
      <c r="R25" s="68" t="s">
        <v>139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x14ac:dyDescent="0.35">
      <c r="B26" s="184"/>
      <c r="C26" s="188" t="s">
        <v>142</v>
      </c>
      <c r="D26" s="189"/>
      <c r="E26" s="157" t="s">
        <v>521</v>
      </c>
      <c r="F26" s="157" t="s">
        <v>521</v>
      </c>
      <c r="G26" s="157" t="s">
        <v>521</v>
      </c>
      <c r="H26" s="157" t="s">
        <v>521</v>
      </c>
      <c r="I26" s="157" t="s">
        <v>521</v>
      </c>
      <c r="J26" s="157" t="s">
        <v>521</v>
      </c>
      <c r="K26" s="157" t="s">
        <v>521</v>
      </c>
      <c r="L26" s="157" t="s">
        <v>521</v>
      </c>
      <c r="M26" s="157" t="s">
        <v>521</v>
      </c>
      <c r="N26" s="157" t="s">
        <v>521</v>
      </c>
      <c r="O26" s="186" t="s">
        <v>143</v>
      </c>
      <c r="Q26" s="212"/>
      <c r="R26" s="210" t="s">
        <v>521</v>
      </c>
      <c r="S26" s="210" t="s">
        <v>678</v>
      </c>
      <c r="T26" s="210" t="s">
        <v>679</v>
      </c>
      <c r="U26" s="210" t="s">
        <v>522</v>
      </c>
      <c r="V26" s="68"/>
      <c r="W26" s="68"/>
      <c r="X26" s="68"/>
      <c r="Y26" s="68"/>
      <c r="Z26" s="68"/>
      <c r="AA26" s="68"/>
      <c r="AB26" s="68"/>
    </row>
    <row r="27" spans="1:28" x14ac:dyDescent="0.35">
      <c r="A27" s="8"/>
      <c r="B27" s="363"/>
      <c r="C27" s="364" t="s">
        <v>677</v>
      </c>
      <c r="D27" s="365"/>
      <c r="E27" s="365" t="str">
        <f>IF(E26="Individuelle GPT",CONCATENATE(Netzbetreiber!$D$11,'SLP-Temp-Gebiet #01'!E25,"B"),IF('SLP-Temp-Gebiet #01'!E26="Allgemeine GPT",CONCATENATE(Netzbetreiber!$D$11,'SLP-Temp-Gebiet #01'!E25,"A"),""))</f>
        <v/>
      </c>
      <c r="F27" s="365" t="str">
        <f>IF(F26="Individuelle GPT",CONCATENATE(Netzbetreiber!$D$11,'SLP-Temp-Gebiet #01'!F25,"B"),IF('SLP-Temp-Gebiet #01'!F26="Allgemeine GPT",CONCATENATE(Netzbetreiber!$D$11,'SLP-Temp-Gebiet #01'!F25,"A"),""))</f>
        <v/>
      </c>
      <c r="G27" s="365" t="str">
        <f>IF(G26="Individuelle GPT",CONCATENATE(Netzbetreiber!$D$11,'SLP-Temp-Gebiet #01'!G25,"B"),IF('SLP-Temp-Gebiet #01'!G26="Allgemeine GPT",CONCATENATE(Netzbetreiber!$D$11,'SLP-Temp-Gebiet #01'!G25,"A"),""))</f>
        <v/>
      </c>
      <c r="H27" s="365" t="str">
        <f>IF(H26="Individuelle GPT",CONCATENATE(Netzbetreiber!$D$11,'SLP-Temp-Gebiet #01'!H25,"B"),IF('SLP-Temp-Gebiet #01'!H26="Allgemeine GPT",CONCATENATE(Netzbetreiber!$D$11,'SLP-Temp-Gebiet #01'!H25,"A"),""))</f>
        <v/>
      </c>
      <c r="I27" s="365" t="str">
        <f>IF(I26="Individuelle GPT",CONCATENATE(Netzbetreiber!$D$11,'SLP-Temp-Gebiet #01'!I25,"B"),IF('SLP-Temp-Gebiet #01'!I26="Allgemeine GPT",CONCATENATE(Netzbetreiber!$D$11,'SLP-Temp-Gebiet #01'!I25,"A"),""))</f>
        <v/>
      </c>
      <c r="J27" s="365" t="str">
        <f>IF(J26="Individuelle GPT",CONCATENATE(Netzbetreiber!$D$11,'SLP-Temp-Gebiet #01'!J25,"B"),IF('SLP-Temp-Gebiet #01'!J26="Allgemeine GPT",CONCATENATE(Netzbetreiber!$D$11,'SLP-Temp-Gebiet #01'!J25,"A"),""))</f>
        <v/>
      </c>
      <c r="K27" s="365" t="str">
        <f>IF(K26="Individuelle GPT",CONCATENATE(Netzbetreiber!$D$11,'SLP-Temp-Gebiet #01'!K25,"B"),IF('SLP-Temp-Gebiet #01'!K26="Allgemeine GPT",CONCATENATE(Netzbetreiber!$D$11,'SLP-Temp-Gebiet #01'!K25,"A"),""))</f>
        <v/>
      </c>
      <c r="L27" s="365" t="str">
        <f>IF(L26="Individuelle GPT",CONCATENATE(Netzbetreiber!$D$11,'SLP-Temp-Gebiet #01'!L25,"B"),IF('SLP-Temp-Gebiet #01'!L26="Allgemeine GPT",CONCATENATE(Netzbetreiber!$D$11,'SLP-Temp-Gebiet #01'!L25,"A"),""))</f>
        <v/>
      </c>
      <c r="M27" s="365" t="str">
        <f>IF(M26="Individuelle GPT",CONCATENATE(Netzbetreiber!$D$11,'SLP-Temp-Gebiet #01'!M25,"B"),IF('SLP-Temp-Gebiet #01'!M26="Allgemeine GPT",CONCATENATE(Netzbetreiber!$D$11,'SLP-Temp-Gebiet #01'!M25,"A"),""))</f>
        <v/>
      </c>
      <c r="N27" s="365" t="str">
        <f>IF(N26="Individuelle GPT",CONCATENATE(Netzbetreiber!$D$11,'SLP-Temp-Gebiet #01'!N25,"B"),IF('SLP-Temp-Gebiet #01'!N26="Allgemeine GPT",CONCATENATE(Netzbetreiber!$D$11,'SLP-Temp-Gebiet #01'!N25,"A"),""))</f>
        <v/>
      </c>
      <c r="O27" s="366" t="s">
        <v>144</v>
      </c>
      <c r="P27" s="13"/>
      <c r="Q27" s="212"/>
      <c r="R27" s="210" t="s">
        <v>521</v>
      </c>
      <c r="S27" s="210" t="s">
        <v>522</v>
      </c>
    </row>
    <row r="28" spans="1:28" x14ac:dyDescent="0.35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x14ac:dyDescent="0.35">
      <c r="B29" s="131"/>
      <c r="C29" s="56" t="s">
        <v>539</v>
      </c>
      <c r="D29" s="131"/>
      <c r="E29" s="131"/>
      <c r="F29" s="49">
        <v>2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 x14ac:dyDescent="0.35">
      <c r="E30" s="179">
        <f>IF(E31&gt;$F$29,0,1)</f>
        <v>1</v>
      </c>
      <c r="F30" s="179">
        <f t="shared" ref="F30:N30" si="2">IF(F31&gt;$F$29,0,1)</f>
        <v>1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x14ac:dyDescent="0.35">
      <c r="B31" s="184"/>
      <c r="C31" s="180" t="s">
        <v>141</v>
      </c>
      <c r="D31" s="181" t="s">
        <v>266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145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x14ac:dyDescent="0.35">
      <c r="B32" s="184"/>
      <c r="C32" s="185" t="s">
        <v>546</v>
      </c>
      <c r="D32" s="187" t="s">
        <v>265</v>
      </c>
      <c r="E32" s="288">
        <f>1-SUMPRODUCT(F30:N30,F32:N32)</f>
        <v>0.66670000000000007</v>
      </c>
      <c r="F32" s="288">
        <f>ROUND(F33/$D$33,4)</f>
        <v>0.33329999999999999</v>
      </c>
      <c r="G32" s="288">
        <f t="shared" ref="G32:N32" si="3">ROUND(G33/$D$33,4)</f>
        <v>0.16669999999999999</v>
      </c>
      <c r="H32" s="288">
        <f t="shared" si="3"/>
        <v>8.3299999999999999E-2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 x14ac:dyDescent="0.35">
      <c r="B33" s="184"/>
      <c r="C33" s="185" t="s">
        <v>553</v>
      </c>
      <c r="D33" s="294">
        <f>SUMPRODUCT(E33:N33,E30:N30)</f>
        <v>1.5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146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 x14ac:dyDescent="0.35">
      <c r="B34" s="184"/>
      <c r="C34" s="188" t="s">
        <v>369</v>
      </c>
      <c r="D34" s="154" t="s">
        <v>368</v>
      </c>
      <c r="E34" s="157" t="s">
        <v>3</v>
      </c>
      <c r="F34" s="157" t="s">
        <v>367</v>
      </c>
      <c r="G34" s="157" t="s">
        <v>358</v>
      </c>
      <c r="H34" s="157" t="s">
        <v>359</v>
      </c>
      <c r="I34" s="157"/>
      <c r="J34" s="157"/>
      <c r="K34" s="157"/>
      <c r="L34" s="157"/>
      <c r="M34" s="157"/>
      <c r="N34" s="157"/>
      <c r="O34" s="186" t="s">
        <v>143</v>
      </c>
      <c r="Q34" s="212"/>
      <c r="R34" s="68" t="s">
        <v>3</v>
      </c>
      <c r="S34" s="68" t="s">
        <v>367</v>
      </c>
      <c r="T34" s="68" t="s">
        <v>358</v>
      </c>
      <c r="U34" s="68" t="s">
        <v>359</v>
      </c>
      <c r="V34" s="68" t="s">
        <v>360</v>
      </c>
      <c r="W34" s="68" t="s">
        <v>361</v>
      </c>
      <c r="X34" s="68" t="s">
        <v>362</v>
      </c>
      <c r="Y34" s="68" t="s">
        <v>363</v>
      </c>
      <c r="Z34" s="68" t="s">
        <v>364</v>
      </c>
      <c r="AA34" s="68" t="s">
        <v>365</v>
      </c>
      <c r="AB34" s="68" t="s">
        <v>366</v>
      </c>
    </row>
    <row r="35" spans="2:28" x14ac:dyDescent="0.35">
      <c r="B35" s="184"/>
      <c r="C35" s="188" t="s">
        <v>458</v>
      </c>
      <c r="D35" s="154" t="s">
        <v>457</v>
      </c>
      <c r="E35" s="157" t="s">
        <v>531</v>
      </c>
      <c r="F35" s="157" t="s">
        <v>531</v>
      </c>
      <c r="G35" s="157" t="s">
        <v>531</v>
      </c>
      <c r="H35" s="157" t="s">
        <v>531</v>
      </c>
      <c r="I35" s="163"/>
      <c r="J35" s="163"/>
      <c r="K35" s="163"/>
      <c r="L35" s="163"/>
      <c r="M35" s="163"/>
      <c r="N35" s="163"/>
      <c r="O35" s="186" t="s">
        <v>143</v>
      </c>
      <c r="Q35" s="212"/>
      <c r="R35" s="68" t="s">
        <v>531</v>
      </c>
      <c r="S35" s="68" t="s">
        <v>532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 x14ac:dyDescent="0.35">
      <c r="B36" s="184"/>
      <c r="C36" s="188" t="s">
        <v>628</v>
      </c>
      <c r="D36" s="154" t="s">
        <v>629</v>
      </c>
      <c r="E36" s="157" t="s">
        <v>627</v>
      </c>
      <c r="F36" s="157" t="s">
        <v>627</v>
      </c>
      <c r="G36" s="157" t="s">
        <v>627</v>
      </c>
      <c r="H36" s="157" t="s">
        <v>627</v>
      </c>
      <c r="I36" s="157" t="s">
        <v>627</v>
      </c>
      <c r="J36" s="157" t="s">
        <v>627</v>
      </c>
      <c r="K36" s="157" t="s">
        <v>627</v>
      </c>
      <c r="L36" s="157" t="s">
        <v>627</v>
      </c>
      <c r="M36" s="157" t="s">
        <v>627</v>
      </c>
      <c r="N36" s="157" t="s">
        <v>627</v>
      </c>
      <c r="O36" s="186" t="s">
        <v>143</v>
      </c>
      <c r="Q36" s="212"/>
      <c r="R36" s="68" t="s">
        <v>627</v>
      </c>
      <c r="S36" s="68" t="s">
        <v>630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 x14ac:dyDescent="0.35">
      <c r="B37" s="184"/>
      <c r="C37" s="193" t="s">
        <v>450</v>
      </c>
      <c r="D37" s="120" t="s">
        <v>558</v>
      </c>
      <c r="E37" s="163" t="s">
        <v>459</v>
      </c>
      <c r="F37" s="163" t="s">
        <v>459</v>
      </c>
      <c r="G37" s="163" t="s">
        <v>460</v>
      </c>
      <c r="H37" s="163" t="s">
        <v>460</v>
      </c>
      <c r="I37" s="163"/>
      <c r="J37" s="163"/>
      <c r="K37" s="163"/>
      <c r="L37" s="163"/>
      <c r="M37" s="163"/>
      <c r="N37" s="163"/>
      <c r="O37" s="186" t="s">
        <v>143</v>
      </c>
      <c r="Q37" s="212"/>
      <c r="R37" s="68" t="s">
        <v>460</v>
      </c>
      <c r="S37" s="68" t="s">
        <v>459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" thickBot="1" x14ac:dyDescent="0.4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 x14ac:dyDescent="0.35">
      <c r="B39" s="194"/>
      <c r="C39" s="195" t="s">
        <v>277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6.5" x14ac:dyDescent="0.45">
      <c r="B40" s="194"/>
      <c r="C40" s="198" t="s">
        <v>357</v>
      </c>
      <c r="D40" s="199"/>
      <c r="E40" s="199" t="s">
        <v>551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 x14ac:dyDescent="0.35">
      <c r="B41" s="194"/>
      <c r="C41" s="198"/>
      <c r="D41" s="199"/>
      <c r="E41" s="199" t="s">
        <v>552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 x14ac:dyDescent="0.35">
      <c r="B42" s="194"/>
      <c r="C42" s="198"/>
      <c r="D42" s="199"/>
      <c r="E42" s="199" t="s">
        <v>544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 x14ac:dyDescent="0.35">
      <c r="B43" s="194"/>
      <c r="C43" s="201"/>
      <c r="D43" s="199"/>
      <c r="E43" s="199" t="s">
        <v>549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 x14ac:dyDescent="0.35">
      <c r="B44" s="194"/>
      <c r="C44" s="201"/>
      <c r="D44" s="199"/>
      <c r="E44" s="199" t="s">
        <v>550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 x14ac:dyDescent="0.35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 x14ac:dyDescent="0.35">
      <c r="B46" s="194"/>
      <c r="C46" s="198" t="s">
        <v>555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 x14ac:dyDescent="0.35">
      <c r="B47" s="194"/>
      <c r="C47" s="201" t="s">
        <v>556</v>
      </c>
      <c r="D47" s="202" t="s">
        <v>554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370</v>
      </c>
      <c r="K47" s="199"/>
      <c r="L47" s="199"/>
      <c r="M47" s="199"/>
      <c r="N47" s="199"/>
      <c r="O47" s="200"/>
    </row>
    <row r="48" spans="2:28" x14ac:dyDescent="0.35">
      <c r="B48" s="194"/>
      <c r="C48" s="201" t="s">
        <v>356</v>
      </c>
      <c r="D48" s="202" t="s">
        <v>554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370</v>
      </c>
      <c r="K48" s="199"/>
      <c r="L48" s="199"/>
      <c r="M48" s="199"/>
      <c r="N48" s="199"/>
      <c r="O48" s="200"/>
    </row>
    <row r="49" spans="2:28" ht="15" thickBot="1" x14ac:dyDescent="0.4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 x14ac:dyDescent="0.35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5" x14ac:dyDescent="0.45">
      <c r="B51" s="177" t="s">
        <v>599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 x14ac:dyDescent="0.35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 x14ac:dyDescent="0.35">
      <c r="B53" s="131"/>
      <c r="C53" s="56" t="s">
        <v>563</v>
      </c>
      <c r="D53" s="131"/>
      <c r="E53" s="131"/>
      <c r="F53" s="158">
        <f>F18</f>
        <v>2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 x14ac:dyDescent="0.35">
      <c r="B54" s="131"/>
      <c r="C54" s="131"/>
      <c r="E54" s="179">
        <f>IF(E55&gt;$F$53,0,1)</f>
        <v>1</v>
      </c>
      <c r="F54" s="179">
        <f t="shared" ref="F54:N54" si="4">IF(F55&gt;$F$53,0,1)</f>
        <v>1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 x14ac:dyDescent="0.35">
      <c r="B55" s="131"/>
      <c r="C55" s="180" t="s">
        <v>538</v>
      </c>
      <c r="D55" s="181" t="s">
        <v>533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145</v>
      </c>
      <c r="W55" s="68"/>
      <c r="X55" s="68"/>
      <c r="Y55" s="68"/>
      <c r="Z55" s="68"/>
      <c r="AA55" s="68"/>
      <c r="AB55" s="68"/>
    </row>
    <row r="56" spans="2:28" x14ac:dyDescent="0.35">
      <c r="B56" s="184"/>
      <c r="C56" s="185" t="s">
        <v>545</v>
      </c>
      <c r="D56" s="154" t="s">
        <v>535</v>
      </c>
      <c r="E56" s="288">
        <f>1-SUMPRODUCT(F54:N54,F56:N56)</f>
        <v>0.5</v>
      </c>
      <c r="F56" s="288">
        <f>ROUND(F57/$D$57,4)</f>
        <v>0.5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 x14ac:dyDescent="0.35">
      <c r="B57" s="184"/>
      <c r="C57" s="185" t="s">
        <v>557</v>
      </c>
      <c r="D57" s="187">
        <f>SUMPRODUCT(E57:N57,E54:N54)</f>
        <v>2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146</v>
      </c>
      <c r="W57" s="68"/>
      <c r="X57" s="68"/>
      <c r="Y57" s="68"/>
      <c r="Z57" s="68"/>
      <c r="AA57" s="68"/>
      <c r="AB57" s="68"/>
    </row>
    <row r="58" spans="2:28" x14ac:dyDescent="0.35">
      <c r="B58" s="184"/>
      <c r="C58" s="188" t="s">
        <v>138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143</v>
      </c>
      <c r="W58" s="68"/>
      <c r="X58" s="68"/>
      <c r="Y58" s="68"/>
      <c r="Z58" s="68"/>
      <c r="AA58" s="68"/>
      <c r="AB58" s="68"/>
    </row>
    <row r="59" spans="2:28" x14ac:dyDescent="0.35">
      <c r="B59" s="184"/>
      <c r="C59" s="188" t="s">
        <v>540</v>
      </c>
      <c r="D59" s="189"/>
      <c r="E59" s="157" t="str">
        <f>E24</f>
        <v>ABC-St.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541</v>
      </c>
      <c r="W59" s="68"/>
      <c r="X59" s="68"/>
      <c r="Y59" s="68"/>
      <c r="Z59" s="68"/>
      <c r="AA59" s="68"/>
      <c r="AB59" s="68"/>
    </row>
    <row r="60" spans="2:28" x14ac:dyDescent="0.35">
      <c r="B60" s="184"/>
      <c r="C60" s="188" t="s">
        <v>534</v>
      </c>
      <c r="D60" s="189"/>
      <c r="E60" s="161" t="str">
        <f>E25</f>
        <v>xxxxx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144</v>
      </c>
      <c r="W60" s="68"/>
      <c r="X60" s="68"/>
      <c r="Y60" s="68"/>
      <c r="Z60" s="68"/>
      <c r="AA60" s="68"/>
      <c r="AB60" s="68"/>
    </row>
    <row r="61" spans="2:28" x14ac:dyDescent="0.35">
      <c r="B61" s="184"/>
      <c r="C61" s="188" t="s">
        <v>142</v>
      </c>
      <c r="D61" s="189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143</v>
      </c>
      <c r="W61" s="68"/>
      <c r="X61" s="68"/>
      <c r="Y61" s="68"/>
      <c r="Z61" s="68"/>
      <c r="AA61" s="68"/>
      <c r="AB61" s="68"/>
    </row>
    <row r="62" spans="2:28" x14ac:dyDescent="0.35"/>
    <row r="63" spans="2:28" x14ac:dyDescent="0.35">
      <c r="C63" s="56" t="s">
        <v>539</v>
      </c>
      <c r="D63" s="131"/>
      <c r="E63" s="131"/>
      <c r="F63" s="158">
        <f>F29</f>
        <v>2</v>
      </c>
    </row>
    <row r="64" spans="2:28" ht="15" customHeight="1" x14ac:dyDescent="0.35">
      <c r="E64" s="179">
        <f>IF(E65&gt;$F$63,0,1)</f>
        <v>1</v>
      </c>
      <c r="F64" s="179">
        <f t="shared" ref="F64:N64" si="11">IF(F65&gt;$F$63,0,1)</f>
        <v>1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 x14ac:dyDescent="0.35">
      <c r="B65" s="131"/>
      <c r="C65" s="180" t="s">
        <v>141</v>
      </c>
      <c r="D65" s="181" t="s">
        <v>266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145</v>
      </c>
    </row>
    <row r="66" spans="2:15" x14ac:dyDescent="0.35">
      <c r="B66" s="184"/>
      <c r="C66" s="185" t="s">
        <v>546</v>
      </c>
      <c r="D66" s="187" t="s">
        <v>265</v>
      </c>
      <c r="E66" s="288">
        <f>1-SUMPRODUCT(F64:N64,F66:N66)</f>
        <v>0.66670000000000007</v>
      </c>
      <c r="F66" s="288">
        <f>ROUND(F67/$D$67,4)</f>
        <v>0.33329999999999999</v>
      </c>
      <c r="G66" s="288">
        <f t="shared" ref="G66:N66" si="12">ROUND(G67/$D$67,4)</f>
        <v>0.16669999999999999</v>
      </c>
      <c r="H66" s="288">
        <f t="shared" si="12"/>
        <v>8.3299999999999999E-2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 x14ac:dyDescent="0.35">
      <c r="B67" s="184"/>
      <c r="C67" s="185" t="s">
        <v>553</v>
      </c>
      <c r="D67" s="187">
        <f>SUMPRODUCT(E67:N67,E64:N64)</f>
        <v>1.5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146</v>
      </c>
    </row>
    <row r="68" spans="2:15" x14ac:dyDescent="0.35">
      <c r="B68" s="184"/>
      <c r="C68" s="188" t="s">
        <v>369</v>
      </c>
      <c r="D68" s="154" t="s">
        <v>368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143</v>
      </c>
    </row>
    <row r="69" spans="2:15" x14ac:dyDescent="0.35">
      <c r="B69" s="184"/>
      <c r="C69" s="188" t="s">
        <v>458</v>
      </c>
      <c r="D69" s="154" t="s">
        <v>457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143</v>
      </c>
    </row>
    <row r="70" spans="2:15" x14ac:dyDescent="0.35">
      <c r="B70" s="184"/>
      <c r="C70" s="188" t="s">
        <v>628</v>
      </c>
      <c r="D70" s="154" t="s">
        <v>629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143</v>
      </c>
    </row>
    <row r="71" spans="2:15" x14ac:dyDescent="0.35">
      <c r="B71" s="184"/>
      <c r="C71" s="193" t="s">
        <v>450</v>
      </c>
      <c r="D71" s="120" t="s">
        <v>558</v>
      </c>
      <c r="E71" s="164" t="s">
        <v>460</v>
      </c>
      <c r="F71" s="164" t="s">
        <v>460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143</v>
      </c>
    </row>
    <row r="72" spans="2:15" x14ac:dyDescent="0.35"/>
    <row r="73" spans="2:15" ht="15.75" customHeight="1" x14ac:dyDescent="0.35">
      <c r="C73" s="350" t="s">
        <v>600</v>
      </c>
      <c r="D73" s="350"/>
      <c r="E73" s="350"/>
      <c r="F73" s="350"/>
    </row>
    <row r="74" spans="2:15" x14ac:dyDescent="0.35"/>
    <row r="75" spans="2:15" hidden="1" x14ac:dyDescent="0.35"/>
    <row r="76" spans="2:15" hidden="1" x14ac:dyDescent="0.35"/>
    <row r="77" spans="2:15" hidden="1" x14ac:dyDescent="0.35"/>
    <row r="78" spans="2:15" hidden="1" x14ac:dyDescent="0.35"/>
    <row r="79" spans="2:15" x14ac:dyDescent="0.3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 x14ac:dyDescent="0.35"/>
  <cols>
    <col min="1" max="1" width="2.81640625" style="129" customWidth="1"/>
    <col min="2" max="2" width="5.453125" style="129" customWidth="1"/>
    <col min="3" max="3" width="37.54296875" style="129" customWidth="1"/>
    <col min="4" max="4" width="12.54296875" style="129" customWidth="1"/>
    <col min="5" max="14" width="12.7265625" style="129" customWidth="1"/>
    <col min="15" max="15" width="34.1796875" style="129" customWidth="1"/>
    <col min="16" max="16" width="7.26953125" style="171" customWidth="1"/>
    <col min="17" max="18" width="7.26953125" style="210" hidden="1" customWidth="1"/>
    <col min="19" max="19" width="13.453125" style="210" hidden="1" customWidth="1"/>
    <col min="20" max="20" width="23.54296875" style="210" hidden="1" customWidth="1"/>
    <col min="21" max="21" width="5.453125" style="210" hidden="1" customWidth="1"/>
    <col min="22" max="22" width="5" style="210" hidden="1" customWidth="1"/>
    <col min="23" max="23" width="5.26953125" style="210" hidden="1" customWidth="1"/>
    <col min="24" max="24" width="5" style="210" hidden="1" customWidth="1"/>
    <col min="25" max="25" width="8.1796875" style="210" hidden="1" customWidth="1"/>
    <col min="26" max="26" width="11.7265625" style="210" hidden="1" customWidth="1"/>
    <col min="27" max="27" width="8.8164062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53125" style="57" hidden="1" customWidth="1"/>
    <col min="38" max="38" width="4" style="57" hidden="1" customWidth="1"/>
    <col min="39" max="47" width="4.453125" style="57" hidden="1" customWidth="1"/>
    <col min="48" max="48" width="4" style="57" hidden="1" customWidth="1"/>
    <col min="49" max="16383" width="22.54296875" style="57" hidden="1"/>
    <col min="16384" max="16384" width="1" style="57" hidden="1" customWidth="1"/>
  </cols>
  <sheetData>
    <row r="1" spans="1:56" ht="75" customHeight="1" x14ac:dyDescent="0.35"/>
    <row r="2" spans="1:56" ht="23.5" x14ac:dyDescent="0.55000000000000004">
      <c r="B2" s="172" t="s">
        <v>564</v>
      </c>
    </row>
    <row r="3" spans="1:56" ht="15" customHeight="1" x14ac:dyDescent="0.55000000000000004">
      <c r="B3" s="172"/>
    </row>
    <row r="4" spans="1:56" ht="14.5" x14ac:dyDescent="0.35">
      <c r="B4" s="131"/>
      <c r="C4" s="56" t="s">
        <v>452</v>
      </c>
      <c r="D4" s="57"/>
      <c r="E4" s="58" t="s">
        <v>494</v>
      </c>
      <c r="F4" s="131"/>
      <c r="M4" s="131"/>
      <c r="N4" s="131"/>
      <c r="O4" s="131"/>
    </row>
    <row r="5" spans="1:56" ht="14.5" x14ac:dyDescent="0.35">
      <c r="B5" s="131"/>
      <c r="C5" s="56" t="s">
        <v>451</v>
      </c>
      <c r="D5" s="57"/>
      <c r="E5" s="58" t="str">
        <f>Netzbetreiber!D28</f>
        <v>Musternetz 1</v>
      </c>
      <c r="F5" s="131"/>
      <c r="G5" s="131"/>
      <c r="H5" s="131"/>
      <c r="M5" s="131"/>
      <c r="N5" s="131"/>
      <c r="O5" s="131"/>
    </row>
    <row r="6" spans="1:56" ht="14.5" x14ac:dyDescent="0.35">
      <c r="B6" s="131"/>
      <c r="C6" s="60" t="s">
        <v>500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 ht="14.5" x14ac:dyDescent="0.35">
      <c r="B7" s="131"/>
      <c r="C7" s="56" t="s">
        <v>134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 ht="14.5" x14ac:dyDescent="0.35">
      <c r="B8" s="131"/>
      <c r="C8" s="131"/>
      <c r="D8" s="131"/>
      <c r="E8" s="131"/>
      <c r="F8" s="131"/>
      <c r="G8" s="131"/>
      <c r="H8" s="89" t="s">
        <v>511</v>
      </c>
      <c r="J8" s="131"/>
      <c r="K8" s="131"/>
      <c r="L8" s="131"/>
      <c r="M8" s="131"/>
      <c r="N8" s="131"/>
      <c r="O8" s="131"/>
    </row>
    <row r="9" spans="1:56" ht="14.5" x14ac:dyDescent="0.35">
      <c r="B9" s="131"/>
      <c r="C9" s="60" t="s">
        <v>542</v>
      </c>
      <c r="D9" s="131"/>
      <c r="E9" s="131"/>
      <c r="F9" s="155">
        <f>'SLP-Verfahren'!D43</f>
        <v>2</v>
      </c>
      <c r="H9" s="173" t="s">
        <v>623</v>
      </c>
      <c r="J9" s="131"/>
      <c r="K9" s="131"/>
      <c r="L9" s="131"/>
      <c r="M9" s="131"/>
      <c r="N9" s="131"/>
      <c r="O9" s="131"/>
    </row>
    <row r="10" spans="1:56" ht="14.5" x14ac:dyDescent="0.35">
      <c r="B10" s="131"/>
      <c r="C10" s="56" t="s">
        <v>606</v>
      </c>
      <c r="D10" s="131"/>
      <c r="E10" s="131"/>
      <c r="F10" s="300">
        <v>2</v>
      </c>
      <c r="G10" s="57"/>
      <c r="H10" s="173" t="s">
        <v>624</v>
      </c>
      <c r="J10" s="131"/>
      <c r="K10" s="131"/>
      <c r="L10" s="131"/>
      <c r="M10" s="131"/>
      <c r="N10" s="131"/>
      <c r="O10" s="131"/>
    </row>
    <row r="11" spans="1:56" ht="14.5" x14ac:dyDescent="0.35">
      <c r="B11" s="131"/>
      <c r="C11" s="56" t="s">
        <v>626</v>
      </c>
      <c r="D11" s="131"/>
      <c r="E11" s="131"/>
      <c r="F11" s="297" t="str">
        <f>INDEX('SLP-Verfahren'!D45:D59,'SLP-Temp-Gebiet #02'!F10)</f>
        <v>Muster-Temp.gebiet 2</v>
      </c>
      <c r="G11" s="301"/>
      <c r="H11" s="299"/>
      <c r="J11" s="131"/>
      <c r="K11" s="131"/>
      <c r="L11" s="131"/>
      <c r="M11" s="131"/>
      <c r="N11" s="131"/>
      <c r="O11" s="131"/>
    </row>
    <row r="12" spans="1:56" ht="14.5" x14ac:dyDescent="0.35"/>
    <row r="13" spans="1:56" ht="18" customHeight="1" x14ac:dyDescent="0.35">
      <c r="B13" s="131"/>
      <c r="C13" s="348" t="s">
        <v>605</v>
      </c>
      <c r="D13" s="348"/>
      <c r="E13" s="348"/>
      <c r="F13" s="184" t="s">
        <v>568</v>
      </c>
      <c r="G13" s="131" t="s">
        <v>566</v>
      </c>
      <c r="H13" s="266" t="s">
        <v>583</v>
      </c>
      <c r="I13" s="57"/>
      <c r="J13" s="131"/>
      <c r="K13" s="131"/>
      <c r="L13" s="131"/>
      <c r="M13" s="131"/>
      <c r="N13" s="131"/>
      <c r="O13" s="131"/>
    </row>
    <row r="14" spans="1:56" ht="19.5" customHeight="1" x14ac:dyDescent="0.35">
      <c r="B14" s="131"/>
      <c r="C14" s="349" t="s">
        <v>455</v>
      </c>
      <c r="D14" s="349"/>
      <c r="E14" s="90" t="s">
        <v>456</v>
      </c>
      <c r="F14" s="267" t="s">
        <v>86</v>
      </c>
      <c r="G14" s="268" t="s">
        <v>592</v>
      </c>
      <c r="H14" s="51">
        <v>0</v>
      </c>
      <c r="I14" s="57"/>
      <c r="J14" s="131"/>
      <c r="K14" s="131"/>
      <c r="L14" s="131"/>
      <c r="M14" s="131"/>
      <c r="N14" s="131"/>
      <c r="O14" s="174" t="s">
        <v>547</v>
      </c>
      <c r="R14" s="210" t="s">
        <v>584</v>
      </c>
      <c r="S14" s="210" t="s">
        <v>585</v>
      </c>
      <c r="T14" s="210" t="s">
        <v>586</v>
      </c>
      <c r="U14" s="210" t="s">
        <v>587</v>
      </c>
      <c r="V14" s="210" t="s">
        <v>567</v>
      </c>
      <c r="W14" s="210" t="s">
        <v>588</v>
      </c>
      <c r="X14" s="210" t="s">
        <v>589</v>
      </c>
      <c r="Y14" s="210" t="s">
        <v>590</v>
      </c>
      <c r="Z14" s="210" t="s">
        <v>591</v>
      </c>
      <c r="AA14" s="210" t="s">
        <v>592</v>
      </c>
      <c r="AB14" s="210" t="s">
        <v>593</v>
      </c>
      <c r="AC14" s="210" t="s">
        <v>594</v>
      </c>
    </row>
    <row r="15" spans="1:56" ht="19.5" customHeight="1" x14ac:dyDescent="0.35">
      <c r="B15" s="131"/>
      <c r="C15" s="349" t="s">
        <v>395</v>
      </c>
      <c r="D15" s="349"/>
      <c r="E15" s="90" t="s">
        <v>456</v>
      </c>
      <c r="F15" s="267" t="s">
        <v>72</v>
      </c>
      <c r="G15" s="268" t="s">
        <v>586</v>
      </c>
      <c r="H15" s="51">
        <v>0</v>
      </c>
      <c r="I15" s="57"/>
      <c r="J15" s="131"/>
      <c r="K15" s="131"/>
      <c r="L15" s="131"/>
      <c r="M15" s="131"/>
      <c r="N15" s="131"/>
      <c r="O15" s="162" t="s">
        <v>548</v>
      </c>
      <c r="R15" s="265" t="s">
        <v>72</v>
      </c>
      <c r="S15" s="265" t="s">
        <v>73</v>
      </c>
      <c r="T15" s="265" t="s">
        <v>74</v>
      </c>
      <c r="U15" s="265" t="s">
        <v>75</v>
      </c>
      <c r="V15" s="265" t="s">
        <v>76</v>
      </c>
      <c r="W15" s="265" t="s">
        <v>77</v>
      </c>
      <c r="X15" s="265" t="s">
        <v>78</v>
      </c>
      <c r="Y15" s="265" t="s">
        <v>79</v>
      </c>
      <c r="Z15" s="265" t="s">
        <v>80</v>
      </c>
      <c r="AA15" s="265" t="s">
        <v>81</v>
      </c>
      <c r="AB15" s="265" t="s">
        <v>82</v>
      </c>
      <c r="AC15" s="265" t="s">
        <v>83</v>
      </c>
      <c r="AD15" s="265" t="s">
        <v>84</v>
      </c>
      <c r="AE15" s="265" t="s">
        <v>85</v>
      </c>
      <c r="AF15" s="265" t="s">
        <v>86</v>
      </c>
      <c r="AG15" s="265" t="s">
        <v>378</v>
      </c>
      <c r="AH15" s="265" t="s">
        <v>506</v>
      </c>
      <c r="AI15" s="265" t="s">
        <v>569</v>
      </c>
      <c r="AJ15" s="265" t="s">
        <v>570</v>
      </c>
      <c r="AK15" s="265" t="s">
        <v>571</v>
      </c>
      <c r="AL15" s="265" t="s">
        <v>572</v>
      </c>
      <c r="AM15" s="265" t="s">
        <v>573</v>
      </c>
      <c r="AN15" s="265" t="s">
        <v>574</v>
      </c>
      <c r="AO15" s="265" t="s">
        <v>575</v>
      </c>
      <c r="AP15" s="265" t="s">
        <v>576</v>
      </c>
      <c r="AQ15" s="265" t="s">
        <v>577</v>
      </c>
      <c r="AR15" s="265" t="s">
        <v>578</v>
      </c>
      <c r="AS15" s="265" t="s">
        <v>579</v>
      </c>
      <c r="AT15" s="265" t="s">
        <v>580</v>
      </c>
      <c r="AU15" s="265" t="s">
        <v>581</v>
      </c>
      <c r="AV15" s="265" t="s">
        <v>582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 x14ac:dyDescent="0.35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 x14ac:dyDescent="0.45">
      <c r="B17" s="177" t="s">
        <v>537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 ht="14.5" x14ac:dyDescent="0.35">
      <c r="B18" s="131"/>
      <c r="C18" s="56" t="s">
        <v>543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 x14ac:dyDescent="0.35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 x14ac:dyDescent="0.35">
      <c r="B20" s="131"/>
      <c r="C20" s="180" t="s">
        <v>538</v>
      </c>
      <c r="D20" s="181" t="s">
        <v>533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145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 ht="14.5" x14ac:dyDescent="0.35">
      <c r="B21" s="184"/>
      <c r="C21" s="185" t="s">
        <v>545</v>
      </c>
      <c r="D21" s="154" t="s">
        <v>535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 ht="14.5" x14ac:dyDescent="0.35">
      <c r="B22" s="184"/>
      <c r="C22" s="185" t="s">
        <v>557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146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 ht="14.5" x14ac:dyDescent="0.35">
      <c r="B23" s="184"/>
      <c r="C23" s="188" t="s">
        <v>138</v>
      </c>
      <c r="D23" s="189"/>
      <c r="E23" s="157" t="s">
        <v>140</v>
      </c>
      <c r="F23" s="157" t="s">
        <v>140</v>
      </c>
      <c r="G23" s="157" t="s">
        <v>140</v>
      </c>
      <c r="H23" s="157" t="s">
        <v>140</v>
      </c>
      <c r="I23" s="157" t="s">
        <v>140</v>
      </c>
      <c r="J23" s="157" t="s">
        <v>140</v>
      </c>
      <c r="K23" s="157" t="s">
        <v>140</v>
      </c>
      <c r="L23" s="157" t="s">
        <v>140</v>
      </c>
      <c r="M23" s="157" t="s">
        <v>140</v>
      </c>
      <c r="N23" s="157" t="s">
        <v>140</v>
      </c>
      <c r="O23" s="186" t="s">
        <v>143</v>
      </c>
      <c r="Q23" s="212"/>
      <c r="R23" s="68" t="s">
        <v>140</v>
      </c>
      <c r="S23" s="68" t="s">
        <v>520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 ht="14.5" x14ac:dyDescent="0.35">
      <c r="B24" s="184"/>
      <c r="C24" s="188" t="s">
        <v>540</v>
      </c>
      <c r="D24" s="189"/>
      <c r="E24" s="157" t="s">
        <v>601</v>
      </c>
      <c r="F24" s="157" t="s">
        <v>602</v>
      </c>
      <c r="G24" s="157"/>
      <c r="H24" s="157"/>
      <c r="I24" s="157"/>
      <c r="J24" s="157"/>
      <c r="K24" s="157"/>
      <c r="L24" s="157"/>
      <c r="M24" s="157"/>
      <c r="N24" s="157"/>
      <c r="O24" s="186" t="s">
        <v>541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 ht="14.5" x14ac:dyDescent="0.35">
      <c r="B25" s="184"/>
      <c r="C25" s="188" t="s">
        <v>534</v>
      </c>
      <c r="D25" s="189"/>
      <c r="E25" s="161" t="s">
        <v>371</v>
      </c>
      <c r="F25" s="161" t="s">
        <v>371</v>
      </c>
      <c r="G25" s="161"/>
      <c r="H25" s="161"/>
      <c r="I25" s="161"/>
      <c r="J25" s="161"/>
      <c r="K25" s="161"/>
      <c r="L25" s="161"/>
      <c r="M25" s="161"/>
      <c r="N25" s="161"/>
      <c r="O25" s="186" t="s">
        <v>144</v>
      </c>
      <c r="Q25" s="212"/>
      <c r="R25" s="68" t="s">
        <v>139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 ht="14.5" x14ac:dyDescent="0.35">
      <c r="B26" s="184"/>
      <c r="C26" s="188" t="s">
        <v>142</v>
      </c>
      <c r="D26" s="189"/>
      <c r="E26" s="157" t="s">
        <v>521</v>
      </c>
      <c r="F26" s="157" t="s">
        <v>521</v>
      </c>
      <c r="G26" s="157"/>
      <c r="H26" s="157"/>
      <c r="I26" s="157"/>
      <c r="J26" s="157"/>
      <c r="K26" s="157"/>
      <c r="L26" s="157"/>
      <c r="M26" s="157"/>
      <c r="N26" s="157"/>
      <c r="O26" s="186" t="s">
        <v>143</v>
      </c>
      <c r="Q26" s="212"/>
      <c r="R26" s="68" t="s">
        <v>521</v>
      </c>
      <c r="S26" s="68" t="s">
        <v>522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 ht="14.5" x14ac:dyDescent="0.35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 ht="14.5" x14ac:dyDescent="0.35">
      <c r="B28" s="131"/>
      <c r="C28" s="56" t="s">
        <v>539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 x14ac:dyDescent="0.35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 ht="14.5" x14ac:dyDescent="0.35">
      <c r="B30" s="184"/>
      <c r="C30" s="180" t="s">
        <v>141</v>
      </c>
      <c r="D30" s="181" t="s">
        <v>266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145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 ht="14.5" x14ac:dyDescent="0.35">
      <c r="B31" s="184"/>
      <c r="C31" s="185" t="s">
        <v>546</v>
      </c>
      <c r="D31" s="187" t="s">
        <v>265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 ht="14.5" x14ac:dyDescent="0.35">
      <c r="B32" s="184"/>
      <c r="C32" s="185" t="s">
        <v>553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146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 ht="14.5" x14ac:dyDescent="0.35">
      <c r="B33" s="184"/>
      <c r="C33" s="188" t="s">
        <v>369</v>
      </c>
      <c r="D33" s="154" t="s">
        <v>368</v>
      </c>
      <c r="E33" s="157" t="s">
        <v>3</v>
      </c>
      <c r="F33" s="157" t="s">
        <v>367</v>
      </c>
      <c r="G33" s="157" t="s">
        <v>358</v>
      </c>
      <c r="H33" s="157" t="s">
        <v>359</v>
      </c>
      <c r="I33" s="157"/>
      <c r="J33" s="157"/>
      <c r="K33" s="157"/>
      <c r="L33" s="157"/>
      <c r="M33" s="157"/>
      <c r="N33" s="157"/>
      <c r="O33" s="186" t="s">
        <v>143</v>
      </c>
      <c r="Q33" s="212"/>
      <c r="R33" s="68" t="s">
        <v>3</v>
      </c>
      <c r="S33" s="68" t="s">
        <v>367</v>
      </c>
      <c r="T33" s="68" t="s">
        <v>358</v>
      </c>
      <c r="U33" s="68" t="s">
        <v>359</v>
      </c>
      <c r="V33" s="68" t="s">
        <v>360</v>
      </c>
      <c r="W33" s="68" t="s">
        <v>361</v>
      </c>
      <c r="X33" s="68" t="s">
        <v>362</v>
      </c>
      <c r="Y33" s="68" t="s">
        <v>363</v>
      </c>
      <c r="Z33" s="68" t="s">
        <v>364</v>
      </c>
      <c r="AA33" s="68" t="s">
        <v>365</v>
      </c>
      <c r="AB33" s="68" t="s">
        <v>366</v>
      </c>
    </row>
    <row r="34" spans="2:28" ht="14.5" x14ac:dyDescent="0.35">
      <c r="B34" s="184"/>
      <c r="C34" s="188" t="s">
        <v>458</v>
      </c>
      <c r="D34" s="154" t="s">
        <v>457</v>
      </c>
      <c r="E34" s="157" t="s">
        <v>531</v>
      </c>
      <c r="F34" s="157" t="s">
        <v>531</v>
      </c>
      <c r="G34" s="157" t="s">
        <v>531</v>
      </c>
      <c r="H34" s="157" t="s">
        <v>531</v>
      </c>
      <c r="I34" s="163"/>
      <c r="J34" s="163"/>
      <c r="K34" s="163"/>
      <c r="L34" s="163"/>
      <c r="M34" s="163"/>
      <c r="N34" s="163"/>
      <c r="O34" s="186" t="s">
        <v>143</v>
      </c>
      <c r="Q34" s="212"/>
      <c r="R34" s="68" t="s">
        <v>531</v>
      </c>
      <c r="S34" s="68" t="s">
        <v>532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 ht="14.5" x14ac:dyDescent="0.35">
      <c r="B35" s="184"/>
      <c r="C35" s="188" t="s">
        <v>628</v>
      </c>
      <c r="D35" s="154" t="s">
        <v>629</v>
      </c>
      <c r="E35" s="157" t="s">
        <v>627</v>
      </c>
      <c r="F35" s="157" t="s">
        <v>627</v>
      </c>
      <c r="G35" s="157" t="s">
        <v>627</v>
      </c>
      <c r="H35" s="157" t="s">
        <v>627</v>
      </c>
      <c r="I35" s="157" t="s">
        <v>627</v>
      </c>
      <c r="J35" s="157" t="s">
        <v>627</v>
      </c>
      <c r="K35" s="157" t="s">
        <v>627</v>
      </c>
      <c r="L35" s="157" t="s">
        <v>627</v>
      </c>
      <c r="M35" s="157" t="s">
        <v>627</v>
      </c>
      <c r="N35" s="157" t="s">
        <v>627</v>
      </c>
      <c r="O35" s="186" t="s">
        <v>143</v>
      </c>
      <c r="Q35" s="212"/>
      <c r="R35" s="68" t="s">
        <v>627</v>
      </c>
      <c r="S35" s="68" t="s">
        <v>630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 ht="14.5" x14ac:dyDescent="0.35">
      <c r="B36" s="184"/>
      <c r="C36" s="193" t="s">
        <v>450</v>
      </c>
      <c r="D36" s="120" t="s">
        <v>558</v>
      </c>
      <c r="E36" s="163" t="s">
        <v>459</v>
      </c>
      <c r="F36" s="163" t="s">
        <v>459</v>
      </c>
      <c r="G36" s="163" t="s">
        <v>460</v>
      </c>
      <c r="H36" s="163" t="s">
        <v>460</v>
      </c>
      <c r="I36" s="163"/>
      <c r="J36" s="163"/>
      <c r="K36" s="163"/>
      <c r="L36" s="163"/>
      <c r="M36" s="163"/>
      <c r="N36" s="163"/>
      <c r="O36" s="186" t="s">
        <v>143</v>
      </c>
      <c r="Q36" s="212"/>
      <c r="R36" s="68" t="s">
        <v>460</v>
      </c>
      <c r="S36" s="68" t="s">
        <v>459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thickBot="1" x14ac:dyDescent="0.4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 ht="14.5" x14ac:dyDescent="0.35">
      <c r="B38" s="194"/>
      <c r="C38" s="195" t="s">
        <v>277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6.5" x14ac:dyDescent="0.45">
      <c r="B39" s="194"/>
      <c r="C39" s="198" t="s">
        <v>357</v>
      </c>
      <c r="D39" s="199"/>
      <c r="E39" s="199" t="s">
        <v>551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 ht="14.5" x14ac:dyDescent="0.35">
      <c r="B40" s="194"/>
      <c r="C40" s="198"/>
      <c r="D40" s="199"/>
      <c r="E40" s="199" t="s">
        <v>552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 ht="14.5" x14ac:dyDescent="0.35">
      <c r="B41" s="194"/>
      <c r="C41" s="198"/>
      <c r="D41" s="199"/>
      <c r="E41" s="199" t="s">
        <v>544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 ht="14.5" x14ac:dyDescent="0.35">
      <c r="B42" s="194"/>
      <c r="C42" s="201"/>
      <c r="D42" s="199"/>
      <c r="E42" s="199" t="s">
        <v>549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 ht="14.5" x14ac:dyDescent="0.35">
      <c r="B43" s="194"/>
      <c r="C43" s="201"/>
      <c r="D43" s="199"/>
      <c r="E43" s="199" t="s">
        <v>550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 ht="14.5" x14ac:dyDescent="0.35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 ht="14.5" x14ac:dyDescent="0.35">
      <c r="B45" s="194"/>
      <c r="C45" s="198" t="s">
        <v>555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 ht="14.5" x14ac:dyDescent="0.35">
      <c r="B46" s="194"/>
      <c r="C46" s="201" t="s">
        <v>556</v>
      </c>
      <c r="D46" s="202" t="s">
        <v>554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370</v>
      </c>
      <c r="K46" s="199"/>
      <c r="L46" s="199"/>
      <c r="M46" s="199"/>
      <c r="N46" s="199"/>
      <c r="O46" s="200"/>
    </row>
    <row r="47" spans="2:28" ht="14.5" x14ac:dyDescent="0.35">
      <c r="B47" s="194"/>
      <c r="C47" s="201" t="s">
        <v>356</v>
      </c>
      <c r="D47" s="202" t="s">
        <v>554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370</v>
      </c>
      <c r="K47" s="199"/>
      <c r="L47" s="199"/>
      <c r="M47" s="199"/>
      <c r="N47" s="199"/>
      <c r="O47" s="200"/>
    </row>
    <row r="48" spans="2:28" thickBot="1" x14ac:dyDescent="0.4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 ht="14.5" x14ac:dyDescent="0.35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5" x14ac:dyDescent="0.45">
      <c r="B50" s="177" t="s">
        <v>599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4.5" x14ac:dyDescent="0.35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 ht="14.5" x14ac:dyDescent="0.35">
      <c r="B52" s="131"/>
      <c r="C52" s="56" t="s">
        <v>563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 x14ac:dyDescent="0.35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 x14ac:dyDescent="0.35">
      <c r="B54" s="131"/>
      <c r="C54" s="180" t="s">
        <v>538</v>
      </c>
      <c r="D54" s="181" t="s">
        <v>533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145</v>
      </c>
      <c r="W54" s="68"/>
      <c r="X54" s="68"/>
      <c r="Y54" s="68"/>
      <c r="Z54" s="68"/>
      <c r="AA54" s="68"/>
      <c r="AB54" s="68"/>
    </row>
    <row r="55" spans="2:28" ht="14.5" x14ac:dyDescent="0.35">
      <c r="B55" s="184"/>
      <c r="C55" s="185" t="s">
        <v>545</v>
      </c>
      <c r="D55" s="154" t="s">
        <v>535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 ht="14.5" x14ac:dyDescent="0.35">
      <c r="B56" s="184"/>
      <c r="C56" s="185" t="s">
        <v>557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146</v>
      </c>
      <c r="W56" s="68"/>
      <c r="X56" s="68"/>
      <c r="Y56" s="68"/>
      <c r="Z56" s="68"/>
      <c r="AA56" s="68"/>
      <c r="AB56" s="68"/>
    </row>
    <row r="57" spans="2:28" ht="14.5" x14ac:dyDescent="0.35">
      <c r="B57" s="184"/>
      <c r="C57" s="188" t="s">
        <v>138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143</v>
      </c>
      <c r="W57" s="68"/>
      <c r="X57" s="68"/>
      <c r="Y57" s="68"/>
      <c r="Z57" s="68"/>
      <c r="AA57" s="68"/>
      <c r="AB57" s="68"/>
    </row>
    <row r="58" spans="2:28" ht="14.5" x14ac:dyDescent="0.35">
      <c r="B58" s="184"/>
      <c r="C58" s="188" t="s">
        <v>540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541</v>
      </c>
      <c r="W58" s="68"/>
      <c r="X58" s="68"/>
      <c r="Y58" s="68"/>
      <c r="Z58" s="68"/>
      <c r="AA58" s="68"/>
      <c r="AB58" s="68"/>
    </row>
    <row r="59" spans="2:28" ht="14.5" x14ac:dyDescent="0.35">
      <c r="B59" s="184"/>
      <c r="C59" s="188" t="s">
        <v>534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144</v>
      </c>
      <c r="W59" s="68"/>
      <c r="X59" s="68"/>
      <c r="Y59" s="68"/>
      <c r="Z59" s="68"/>
      <c r="AA59" s="68"/>
      <c r="AB59" s="68"/>
    </row>
    <row r="60" spans="2:28" ht="14.5" x14ac:dyDescent="0.35">
      <c r="B60" s="184"/>
      <c r="C60" s="188" t="s">
        <v>142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 ht="14.5" x14ac:dyDescent="0.35"/>
    <row r="62" spans="2:28" ht="14.5" x14ac:dyDescent="0.35">
      <c r="C62" s="56" t="s">
        <v>539</v>
      </c>
      <c r="D62" s="131"/>
      <c r="E62" s="131"/>
      <c r="F62" s="158">
        <f>F28</f>
        <v>4</v>
      </c>
    </row>
    <row r="63" spans="2:28" ht="15" customHeight="1" x14ac:dyDescent="0.35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 x14ac:dyDescent="0.35">
      <c r="B64" s="131"/>
      <c r="C64" s="180" t="s">
        <v>141</v>
      </c>
      <c r="D64" s="181" t="s">
        <v>266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145</v>
      </c>
    </row>
    <row r="65" spans="2:15" ht="14.5" x14ac:dyDescent="0.35">
      <c r="B65" s="184"/>
      <c r="C65" s="185" t="s">
        <v>546</v>
      </c>
      <c r="D65" s="187" t="s">
        <v>265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 ht="14.5" x14ac:dyDescent="0.35">
      <c r="B66" s="184"/>
      <c r="C66" s="185" t="s">
        <v>553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146</v>
      </c>
    </row>
    <row r="67" spans="2:15" ht="14.5" x14ac:dyDescent="0.35">
      <c r="B67" s="184"/>
      <c r="C67" s="188" t="s">
        <v>369</v>
      </c>
      <c r="D67" s="154" t="s">
        <v>368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143</v>
      </c>
    </row>
    <row r="68" spans="2:15" ht="14.5" x14ac:dyDescent="0.35">
      <c r="B68" s="184"/>
      <c r="C68" s="188" t="s">
        <v>458</v>
      </c>
      <c r="D68" s="154" t="s">
        <v>457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143</v>
      </c>
    </row>
    <row r="69" spans="2:15" ht="14.5" x14ac:dyDescent="0.35">
      <c r="B69" s="184"/>
      <c r="C69" s="188" t="s">
        <v>628</v>
      </c>
      <c r="D69" s="154" t="s">
        <v>629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143</v>
      </c>
    </row>
    <row r="70" spans="2:15" ht="14.5" x14ac:dyDescent="0.35">
      <c r="B70" s="184"/>
      <c r="C70" s="193" t="s">
        <v>450</v>
      </c>
      <c r="D70" s="120" t="s">
        <v>558</v>
      </c>
      <c r="E70" s="164" t="s">
        <v>460</v>
      </c>
      <c r="F70" s="164" t="s">
        <v>460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143</v>
      </c>
    </row>
    <row r="71" spans="2:15" ht="14.5" x14ac:dyDescent="0.35"/>
    <row r="72" spans="2:15" ht="15.75" customHeight="1" x14ac:dyDescent="0.35">
      <c r="C72" s="350" t="s">
        <v>600</v>
      </c>
      <c r="D72" s="350"/>
      <c r="E72" s="350"/>
      <c r="F72" s="350"/>
    </row>
    <row r="73" spans="2:15" ht="14.5" x14ac:dyDescent="0.35"/>
    <row r="74" spans="2:15" ht="14.5" hidden="1" x14ac:dyDescent="0.35"/>
    <row r="75" spans="2:15" ht="14.5" hidden="1" x14ac:dyDescent="0.35"/>
    <row r="76" spans="2:15" ht="14.5" hidden="1" x14ac:dyDescent="0.35"/>
    <row r="77" spans="2:15" ht="14.5" hidden="1" x14ac:dyDescent="0.35"/>
    <row r="78" spans="2:15" ht="14.5" x14ac:dyDescent="0.3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K34" sqref="K34"/>
    </sheetView>
  </sheetViews>
  <sheetFormatPr baseColWidth="10" defaultColWidth="0" defaultRowHeight="14.5" zeroHeight="1" x14ac:dyDescent="0.35"/>
  <cols>
    <col min="1" max="1" width="2.81640625" style="129" customWidth="1"/>
    <col min="2" max="2" width="8" style="129" customWidth="1"/>
    <col min="3" max="3" width="37.453125" style="129" customWidth="1"/>
    <col min="4" max="4" width="10.7265625" style="129" customWidth="1"/>
    <col min="5" max="6" width="11.453125" style="129" customWidth="1"/>
    <col min="8" max="8" width="12.7265625" style="129" customWidth="1"/>
    <col min="9" max="9" width="15.453125" style="129" customWidth="1"/>
    <col min="10" max="11" width="12.7265625" style="129" customWidth="1"/>
    <col min="12" max="12" width="11.453125" style="129" customWidth="1"/>
    <col min="13" max="16" width="12.7265625" style="129" customWidth="1"/>
    <col min="17" max="17" width="14.1796875" style="129" customWidth="1"/>
    <col min="18" max="24" width="11.453125" style="129" customWidth="1"/>
    <col min="25" max="25" width="20.1796875" style="129" customWidth="1"/>
    <col min="26" max="26" width="11.453125" style="129" customWidth="1"/>
    <col min="27" max="16384" width="11.453125" style="129" hidden="1"/>
  </cols>
  <sheetData>
    <row r="1" spans="2:26" ht="75" customHeight="1" thickBot="1" x14ac:dyDescent="0.4"/>
    <row r="2" spans="2:26" ht="23.5" x14ac:dyDescent="0.35">
      <c r="B2" s="130" t="s">
        <v>372</v>
      </c>
    </row>
    <row r="3" spans="2:26" x14ac:dyDescent="0.35">
      <c r="B3" s="131" t="s">
        <v>473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 x14ac:dyDescent="0.35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 x14ac:dyDescent="0.35">
      <c r="B5" s="131"/>
      <c r="C5" s="53" t="s">
        <v>377</v>
      </c>
      <c r="D5" s="54" t="str">
        <f>Netzbetreiber!$D$9</f>
        <v>Netzbetreiber Musterstadt GmbH</v>
      </c>
      <c r="E5" s="131"/>
      <c r="H5" s="89" t="s">
        <v>511</v>
      </c>
      <c r="I5" s="132" t="s">
        <v>514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 x14ac:dyDescent="0.35">
      <c r="B6" s="131"/>
      <c r="C6" s="53" t="s">
        <v>344</v>
      </c>
      <c r="D6" s="54" t="str">
        <f>Netzbetreiber!$D$28</f>
        <v>Musternetz 1</v>
      </c>
      <c r="E6" s="131"/>
      <c r="F6" s="131"/>
      <c r="I6" s="132" t="s">
        <v>528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 x14ac:dyDescent="0.35">
      <c r="B7" s="131"/>
      <c r="C7" s="55" t="s">
        <v>500</v>
      </c>
      <c r="D7" s="54">
        <f>Netzbetreiber!$D$11</f>
        <v>123456789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 x14ac:dyDescent="0.35">
      <c r="B8" s="131"/>
      <c r="C8" s="53" t="s">
        <v>134</v>
      </c>
      <c r="D8" s="52">
        <f>Netzbetreiber!$D$6</f>
        <v>44470</v>
      </c>
      <c r="E8" s="131"/>
      <c r="F8" s="131"/>
      <c r="H8" s="129" t="s">
        <v>509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 x14ac:dyDescent="0.35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4" thickBot="1" x14ac:dyDescent="0.4">
      <c r="B10" s="135" t="s">
        <v>250</v>
      </c>
      <c r="C10" s="136" t="s">
        <v>507</v>
      </c>
      <c r="D10" s="135" t="s">
        <v>148</v>
      </c>
      <c r="E10" s="278" t="s">
        <v>530</v>
      </c>
      <c r="F10" s="136" t="s">
        <v>149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658</v>
      </c>
      <c r="M10" s="151" t="s">
        <v>667</v>
      </c>
      <c r="N10" s="152" t="s">
        <v>668</v>
      </c>
      <c r="O10" s="152" t="s">
        <v>669</v>
      </c>
      <c r="P10" s="153" t="s">
        <v>670</v>
      </c>
      <c r="Q10" s="147" t="s">
        <v>659</v>
      </c>
      <c r="R10" s="137" t="s">
        <v>660</v>
      </c>
      <c r="S10" s="138" t="s">
        <v>661</v>
      </c>
      <c r="T10" s="138" t="s">
        <v>662</v>
      </c>
      <c r="U10" s="138" t="s">
        <v>663</v>
      </c>
      <c r="V10" s="138" t="s">
        <v>664</v>
      </c>
      <c r="W10" s="138" t="s">
        <v>665</v>
      </c>
      <c r="X10" s="139" t="s">
        <v>666</v>
      </c>
      <c r="Y10" s="306" t="s">
        <v>671</v>
      </c>
    </row>
    <row r="11" spans="2:26" ht="15" thickBot="1" x14ac:dyDescent="0.4">
      <c r="B11" s="140" t="s">
        <v>510</v>
      </c>
      <c r="C11" s="141" t="s">
        <v>529</v>
      </c>
      <c r="D11" s="305" t="s">
        <v>249</v>
      </c>
      <c r="E11" s="165" t="s">
        <v>536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 x14ac:dyDescent="0.35">
      <c r="B12" s="142">
        <v>1</v>
      </c>
      <c r="C12" s="143" t="str">
        <f t="shared" ref="C12:C41" si="0">$D$6</f>
        <v>Musternetz 1</v>
      </c>
      <c r="D12" s="63" t="s">
        <v>249</v>
      </c>
      <c r="E12" s="166" t="s">
        <v>508</v>
      </c>
      <c r="F12" s="308" t="str">
        <f>VLOOKUP($E12,'BDEW-Standard'!$B$3:$M$94,F$9,0)</f>
        <v>1D3</v>
      </c>
      <c r="H12" s="279">
        <f>ROUND(VLOOKUP($E12,'BDEW-Standard'!$B$3:$M$94,H$9,0),7)</f>
        <v>1.6209544</v>
      </c>
      <c r="I12" s="279">
        <f>ROUND(VLOOKUP($E12,'BDEW-Standard'!$B$3:$M$94,I$9,0),7)</f>
        <v>-37.183314099999997</v>
      </c>
      <c r="J12" s="279">
        <f>ROUND(VLOOKUP($E12,'BDEW-Standard'!$B$3:$M$94,J$9,0),7)</f>
        <v>5.6727847000000002</v>
      </c>
      <c r="K12" s="279">
        <f>ROUND(VLOOKUP($E12,'BDEW-Standard'!$B$3:$M$94,K$9,0),7)</f>
        <v>7.1643100000000001E-2</v>
      </c>
      <c r="L12" s="280">
        <f>ROUND(VLOOKUP($E12,'BDEW-Standard'!$B$3:$M$94,L$9,0),1)</f>
        <v>40</v>
      </c>
      <c r="M12" s="279">
        <f>ROUND(VLOOKUP($E12,'BDEW-Standard'!$B$3:$M$94,M$9,0),7)</f>
        <v>-4.9570000000000003E-2</v>
      </c>
      <c r="N12" s="279">
        <f>ROUND(VLOOKUP($E12,'BDEW-Standard'!$B$3:$M$94,N$9,0),7)</f>
        <v>0.84010149999999995</v>
      </c>
      <c r="O12" s="279">
        <f>ROUND(VLOOKUP($E12,'BDEW-Standard'!$B$3:$M$94,O$9,0),7)</f>
        <v>-2.209E-3</v>
      </c>
      <c r="P12" s="279">
        <f>ROUND(VLOOKUP($E12,'BDEW-Standard'!$B$3:$M$94,P$9,0),7)</f>
        <v>0.1074468</v>
      </c>
      <c r="Q12" s="281">
        <f t="shared" ref="Q12:Q26" si="1">($H12/(1+($I12/($Q$9-$L12))^$J12)+$K12)+MAX($M12*$Q$9+$N12,$O12*$Q$9+$P12)</f>
        <v>1.0000001417752751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 x14ac:dyDescent="0.35">
      <c r="B13" s="145">
        <v>2</v>
      </c>
      <c r="C13" s="146" t="str">
        <f t="shared" si="0"/>
        <v>Musternetz 1</v>
      </c>
      <c r="D13" s="63" t="s">
        <v>249</v>
      </c>
      <c r="E13" s="166" t="s">
        <v>526</v>
      </c>
      <c r="F13" s="308" t="str">
        <f>VLOOKUP($E13,'BDEW-Standard'!$B$3:$M$94,F$9,0)</f>
        <v>2D3</v>
      </c>
      <c r="H13" s="279">
        <f>ROUND(VLOOKUP($E13,'BDEW-Standard'!$B$3:$M$94,H$9,0),7)</f>
        <v>1.2328654999999999</v>
      </c>
      <c r="I13" s="279">
        <f>ROUND(VLOOKUP($E13,'BDEW-Standard'!$B$3:$M$94,I$9,0),7)</f>
        <v>-34.721360500000003</v>
      </c>
      <c r="J13" s="279">
        <f>ROUND(VLOOKUP($E13,'BDEW-Standard'!$B$3:$M$94,J$9,0),7)</f>
        <v>5.8164303999999998</v>
      </c>
      <c r="K13" s="279">
        <f>ROUND(VLOOKUP($E13,'BDEW-Standard'!$B$3:$M$94,K$9,0),7)</f>
        <v>8.7335200000000002E-2</v>
      </c>
      <c r="L13" s="280">
        <f>ROUND(VLOOKUP($E13,'BDEW-Standard'!$B$3:$M$94,L$9,0),1)</f>
        <v>40</v>
      </c>
      <c r="M13" s="279">
        <f>ROUND(VLOOKUP($E13,'BDEW-Standard'!$B$3:$M$94,M$9,0),7)</f>
        <v>-4.0928399999999997E-2</v>
      </c>
      <c r="N13" s="279">
        <f>ROUND(VLOOKUP($E13,'BDEW-Standard'!$B$3:$M$94,N$9,0),7)</f>
        <v>0.76729199999999997</v>
      </c>
      <c r="O13" s="279">
        <f>ROUND(VLOOKUP($E13,'BDEW-Standard'!$B$3:$M$94,O$9,0),7)</f>
        <v>-2.232E-3</v>
      </c>
      <c r="P13" s="279">
        <f>ROUND(VLOOKUP($E13,'BDEW-Standard'!$B$3:$M$94,P$9,0),7)</f>
        <v>0.11992070000000001</v>
      </c>
      <c r="Q13" s="281">
        <f t="shared" si="1"/>
        <v>0.99999997653191475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 t="shared" ref="X13:X26" si="2">7-SUM(R13:W13)</f>
        <v>1</v>
      </c>
      <c r="Y13" s="304"/>
      <c r="Z13" s="213"/>
    </row>
    <row r="14" spans="2:26" s="144" customFormat="1" x14ac:dyDescent="0.35">
      <c r="B14" s="145">
        <v>3</v>
      </c>
      <c r="C14" s="146" t="str">
        <f t="shared" si="0"/>
        <v>Musternetz 1</v>
      </c>
      <c r="D14" s="63" t="s">
        <v>249</v>
      </c>
      <c r="E14" s="166" t="s">
        <v>5</v>
      </c>
      <c r="F14" s="308" t="str">
        <f>VLOOKUP($E14,'BDEW-Standard'!$B$3:$M$94,F$9,0)</f>
        <v>HK3</v>
      </c>
      <c r="H14" s="279">
        <f>ROUND(VLOOKUP($E14,'BDEW-Standard'!$B$3:$M$94,H$9,0),7)</f>
        <v>0.40409319999999999</v>
      </c>
      <c r="I14" s="279">
        <f>ROUND(VLOOKUP($E14,'BDEW-Standard'!$B$3:$M$94,I$9,0),7)</f>
        <v>-24.439296800000001</v>
      </c>
      <c r="J14" s="279">
        <f>ROUND(VLOOKUP($E14,'BDEW-Standard'!$B$3:$M$94,J$9,0),7)</f>
        <v>6.5718174999999999</v>
      </c>
      <c r="K14" s="279">
        <f>ROUND(VLOOKUP($E14,'BDEW-Standard'!$B$3:$M$94,K$9,0),7)</f>
        <v>0.71077100000000004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1.0561214000512988</v>
      </c>
      <c r="R14" s="282">
        <f>ROUND(VLOOKUP(MID($E14,4,3),'Wochentag F(WT)'!$B$7:$J$22,R$9,0),4)</f>
        <v>1</v>
      </c>
      <c r="S14" s="282">
        <f>ROUND(VLOOKUP(MID($E14,4,3),'Wochentag F(WT)'!$B$7:$J$22,S$9,0),4)</f>
        <v>1</v>
      </c>
      <c r="T14" s="282">
        <f>ROUND(VLOOKUP(MID($E14,4,3),'Wochentag F(WT)'!$B$7:$J$22,T$9,0),4)</f>
        <v>1</v>
      </c>
      <c r="U14" s="282">
        <f>ROUND(VLOOKUP(MID($E14,4,3),'Wochentag F(WT)'!$B$7:$J$22,U$9,0),4)</f>
        <v>1</v>
      </c>
      <c r="V14" s="282">
        <f>ROUND(VLOOKUP(MID($E14,4,3),'Wochentag F(WT)'!$B$7:$J$22,V$9,0),4)</f>
        <v>1</v>
      </c>
      <c r="W14" s="282">
        <f>ROUND(VLOOKUP(MID($E14,4,3),'Wochentag F(WT)'!$B$7:$J$22,W$9,0),4)</f>
        <v>1</v>
      </c>
      <c r="X14" s="283">
        <f t="shared" si="2"/>
        <v>1</v>
      </c>
      <c r="Y14" s="304"/>
      <c r="Z14" s="213"/>
    </row>
    <row r="15" spans="2:26" s="144" customFormat="1" x14ac:dyDescent="0.35">
      <c r="B15" s="145">
        <v>4</v>
      </c>
      <c r="C15" s="146" t="str">
        <f t="shared" si="0"/>
        <v>Musternetz 1</v>
      </c>
      <c r="D15" s="63" t="s">
        <v>249</v>
      </c>
      <c r="E15" s="166" t="s">
        <v>251</v>
      </c>
      <c r="F15" s="308" t="str">
        <f>VLOOKUP($E15,'BDEW-Standard'!$B$3:$M$94,F$9,0)</f>
        <v>KM3</v>
      </c>
      <c r="H15" s="279">
        <f>ROUND(VLOOKUP($E15,'BDEW-Standard'!$B$3:$M$94,H$9,0),7)</f>
        <v>1.4202418999999999</v>
      </c>
      <c r="I15" s="279">
        <f>ROUND(VLOOKUP($E15,'BDEW-Standard'!$B$3:$M$94,I$9,0),7)</f>
        <v>-34.880612999999997</v>
      </c>
      <c r="J15" s="279">
        <f>ROUND(VLOOKUP($E15,'BDEW-Standard'!$B$3:$M$94,J$9,0),7)</f>
        <v>6.5951899000000003</v>
      </c>
      <c r="K15" s="279">
        <f>ROUND(VLOOKUP($E15,'BDEW-Standard'!$B$3:$M$94,K$9,0),7)</f>
        <v>3.8531700000000002E-2</v>
      </c>
      <c r="L15" s="280">
        <f>ROUND(VLOOKUP($E15,'BDEW-Standard'!$B$3:$M$94,L$9,0),1)</f>
        <v>40</v>
      </c>
      <c r="M15" s="279">
        <f>ROUND(VLOOKUP($E15,'BDEW-Standard'!$B$3:$M$94,M$9,0),7)</f>
        <v>-5.2108399999999999E-2</v>
      </c>
      <c r="N15" s="279">
        <f>ROUND(VLOOKUP($E15,'BDEW-Standard'!$B$3:$M$94,N$9,0),7)</f>
        <v>0.86479189999999995</v>
      </c>
      <c r="O15" s="279">
        <f>ROUND(VLOOKUP($E15,'BDEW-Standard'!$B$3:$M$94,O$9,0),7)</f>
        <v>-1.4369000000000001E-3</v>
      </c>
      <c r="P15" s="279">
        <f>ROUND(VLOOKUP($E15,'BDEW-Standard'!$B$3:$M$94,P$9,0),7)</f>
        <v>6.3760200000000003E-2</v>
      </c>
      <c r="Q15" s="281">
        <f t="shared" si="1"/>
        <v>1.0000002125085892</v>
      </c>
      <c r="R15" s="282">
        <f>ROUND(VLOOKUP(MID($E15,4,3),'Wochentag F(WT)'!$B$7:$J$22,R$9,0),4)</f>
        <v>1.0699000000000001</v>
      </c>
      <c r="S15" s="282">
        <f>ROUND(VLOOKUP(MID($E15,4,3),'Wochentag F(WT)'!$B$7:$J$22,S$9,0),4)</f>
        <v>1.0365</v>
      </c>
      <c r="T15" s="282">
        <f>ROUND(VLOOKUP(MID($E15,4,3),'Wochentag F(WT)'!$B$7:$J$22,T$9,0),4)</f>
        <v>0.99329999999999996</v>
      </c>
      <c r="U15" s="282">
        <f>ROUND(VLOOKUP(MID($E15,4,3),'Wochentag F(WT)'!$B$7:$J$22,U$9,0),4)</f>
        <v>0.99480000000000002</v>
      </c>
      <c r="V15" s="282">
        <f>ROUND(VLOOKUP(MID($E15,4,3),'Wochentag F(WT)'!$B$7:$J$22,V$9,0),4)</f>
        <v>1.0659000000000001</v>
      </c>
      <c r="W15" s="282">
        <f>ROUND(VLOOKUP(MID($E15,4,3),'Wochentag F(WT)'!$B$7:$J$22,W$9,0),4)</f>
        <v>0.93620000000000003</v>
      </c>
      <c r="X15" s="283">
        <f t="shared" si="2"/>
        <v>0.90339999999999954</v>
      </c>
      <c r="Y15" s="304"/>
      <c r="Z15" s="213"/>
    </row>
    <row r="16" spans="2:26" s="144" customFormat="1" x14ac:dyDescent="0.35">
      <c r="B16" s="145">
        <v>5</v>
      </c>
      <c r="C16" s="146" t="str">
        <f t="shared" si="0"/>
        <v>Musternetz 1</v>
      </c>
      <c r="D16" s="63" t="s">
        <v>249</v>
      </c>
      <c r="E16" s="166" t="s">
        <v>252</v>
      </c>
      <c r="F16" s="308" t="str">
        <f>VLOOKUP($E16,'BDEW-Standard'!$B$3:$M$94,F$9,0)</f>
        <v>AH3</v>
      </c>
      <c r="H16" s="279">
        <f>ROUND(VLOOKUP($E16,'BDEW-Standard'!$B$3:$M$94,H$9,0),7)</f>
        <v>1.9724775000000001</v>
      </c>
      <c r="I16" s="279">
        <f>ROUND(VLOOKUP($E16,'BDEW-Standard'!$B$3:$M$94,I$9,0),7)</f>
        <v>-36.965006500000001</v>
      </c>
      <c r="J16" s="279">
        <f>ROUND(VLOOKUP($E16,'BDEW-Standard'!$B$3:$M$94,J$9,0),7)</f>
        <v>7.2256947</v>
      </c>
      <c r="K16" s="279">
        <f>ROUND(VLOOKUP($E16,'BDEW-Standard'!$B$3:$M$94,K$9,0),7)</f>
        <v>3.4578200000000003E-2</v>
      </c>
      <c r="L16" s="280">
        <f>ROUND(VLOOKUP($E16,'BDEW-Standard'!$B$3:$M$94,L$9,0),1)</f>
        <v>40</v>
      </c>
      <c r="M16" s="279">
        <f>ROUND(VLOOKUP($E16,'BDEW-Standard'!$B$3:$M$94,M$9,0),7)</f>
        <v>-7.4217400000000003E-2</v>
      </c>
      <c r="N16" s="279">
        <f>ROUND(VLOOKUP($E16,'BDEW-Standard'!$B$3:$M$94,N$9,0),7)</f>
        <v>1.0448869000000001</v>
      </c>
      <c r="O16" s="279">
        <f>ROUND(VLOOKUP($E16,'BDEW-Standard'!$B$3:$M$94,O$9,0),7)</f>
        <v>-8.2950000000000005E-4</v>
      </c>
      <c r="P16" s="279">
        <f>ROUND(VLOOKUP($E16,'BDEW-Standard'!$B$3:$M$94,P$9,0),7)</f>
        <v>4.6179499999999998E-2</v>
      </c>
      <c r="Q16" s="281">
        <f t="shared" si="1"/>
        <v>1.0000000832749945</v>
      </c>
      <c r="R16" s="282">
        <f>ROUND(VLOOKUP(MID($E16,4,3),'Wochentag F(WT)'!$B$7:$J$22,R$9,0),4)</f>
        <v>1.0358000000000001</v>
      </c>
      <c r="S16" s="282">
        <f>ROUND(VLOOKUP(MID($E16,4,3),'Wochentag F(WT)'!$B$7:$J$22,S$9,0),4)</f>
        <v>1.0232000000000001</v>
      </c>
      <c r="T16" s="282">
        <f>ROUND(VLOOKUP(MID($E16,4,3),'Wochentag F(WT)'!$B$7:$J$22,T$9,0),4)</f>
        <v>1.0251999999999999</v>
      </c>
      <c r="U16" s="282">
        <f>ROUND(VLOOKUP(MID($E16,4,3),'Wochentag F(WT)'!$B$7:$J$22,U$9,0),4)</f>
        <v>1.0295000000000001</v>
      </c>
      <c r="V16" s="282">
        <f>ROUND(VLOOKUP(MID($E16,4,3),'Wochentag F(WT)'!$B$7:$J$22,V$9,0),4)</f>
        <v>1.0253000000000001</v>
      </c>
      <c r="W16" s="282">
        <f>ROUND(VLOOKUP(MID($E16,4,3),'Wochentag F(WT)'!$B$7:$J$22,W$9,0),4)</f>
        <v>0.96750000000000003</v>
      </c>
      <c r="X16" s="283">
        <f t="shared" si="2"/>
        <v>0.89350000000000041</v>
      </c>
      <c r="Y16" s="304"/>
      <c r="Z16" s="213"/>
    </row>
    <row r="17" spans="2:26" s="144" customFormat="1" x14ac:dyDescent="0.35">
      <c r="B17" s="145">
        <v>6</v>
      </c>
      <c r="C17" s="146" t="str">
        <f t="shared" si="0"/>
        <v>Musternetz 1</v>
      </c>
      <c r="D17" s="63" t="s">
        <v>249</v>
      </c>
      <c r="E17" s="166" t="s">
        <v>253</v>
      </c>
      <c r="F17" s="308" t="str">
        <f>VLOOKUP($E17,'BDEW-Standard'!$B$3:$M$94,F$9,0)</f>
        <v>OK3</v>
      </c>
      <c r="H17" s="279">
        <f>ROUND(VLOOKUP($E17,'BDEW-Standard'!$B$3:$M$94,H$9,0),7)</f>
        <v>1.3554515</v>
      </c>
      <c r="I17" s="279">
        <f>ROUND(VLOOKUP($E17,'BDEW-Standard'!$B$3:$M$94,I$9,0),7)</f>
        <v>-35.141256300000002</v>
      </c>
      <c r="J17" s="279">
        <f>ROUND(VLOOKUP($E17,'BDEW-Standard'!$B$3:$M$94,J$9,0),7)</f>
        <v>7.1303394999999998</v>
      </c>
      <c r="K17" s="279">
        <f>ROUND(VLOOKUP($E17,'BDEW-Standard'!$B$3:$M$94,K$9,0),7)</f>
        <v>9.9061899999999994E-2</v>
      </c>
      <c r="L17" s="280">
        <f>ROUND(VLOOKUP($E17,'BDEW-Standard'!$B$3:$M$94,L$9,0),1)</f>
        <v>40</v>
      </c>
      <c r="M17" s="279">
        <f>ROUND(VLOOKUP($E17,'BDEW-Standard'!$B$3:$M$94,M$9,0),7)</f>
        <v>-5.26487E-2</v>
      </c>
      <c r="N17" s="279">
        <f>ROUND(VLOOKUP($E17,'BDEW-Standard'!$B$3:$M$94,N$9,0),7)</f>
        <v>0.86260859999999995</v>
      </c>
      <c r="O17" s="279">
        <f>ROUND(VLOOKUP($E17,'BDEW-Standard'!$B$3:$M$94,O$9,0),7)</f>
        <v>-8.8080000000000005E-4</v>
      </c>
      <c r="P17" s="279">
        <f>ROUND(VLOOKUP($E17,'BDEW-Standard'!$B$3:$M$94,P$9,0),7)</f>
        <v>9.6401399999999998E-2</v>
      </c>
      <c r="Q17" s="281">
        <f t="shared" si="1"/>
        <v>0.99999998782262245</v>
      </c>
      <c r="R17" s="282">
        <f>ROUND(VLOOKUP(MID($E17,4,3),'Wochentag F(WT)'!$B$7:$J$22,R$9,0),4)</f>
        <v>1.0354000000000001</v>
      </c>
      <c r="S17" s="282">
        <f>ROUND(VLOOKUP(MID($E17,4,3),'Wochentag F(WT)'!$B$7:$J$22,S$9,0),4)</f>
        <v>1.0523</v>
      </c>
      <c r="T17" s="282">
        <f>ROUND(VLOOKUP(MID($E17,4,3),'Wochentag F(WT)'!$B$7:$J$22,T$9,0),4)</f>
        <v>1.0448999999999999</v>
      </c>
      <c r="U17" s="282">
        <f>ROUND(VLOOKUP(MID($E17,4,3),'Wochentag F(WT)'!$B$7:$J$22,U$9,0),4)</f>
        <v>1.0494000000000001</v>
      </c>
      <c r="V17" s="282">
        <f>ROUND(VLOOKUP(MID($E17,4,3),'Wochentag F(WT)'!$B$7:$J$22,V$9,0),4)</f>
        <v>0.98850000000000005</v>
      </c>
      <c r="W17" s="282">
        <f>ROUND(VLOOKUP(MID($E17,4,3),'Wochentag F(WT)'!$B$7:$J$22,W$9,0),4)</f>
        <v>0.88600000000000001</v>
      </c>
      <c r="X17" s="283">
        <f t="shared" si="2"/>
        <v>0.94349999999999934</v>
      </c>
      <c r="Y17" s="304"/>
      <c r="Z17" s="213"/>
    </row>
    <row r="18" spans="2:26" s="144" customFormat="1" x14ac:dyDescent="0.35">
      <c r="B18" s="145">
        <v>7</v>
      </c>
      <c r="C18" s="146" t="str">
        <f t="shared" si="0"/>
        <v>Musternetz 1</v>
      </c>
      <c r="D18" s="63" t="s">
        <v>249</v>
      </c>
      <c r="E18" s="166" t="s">
        <v>254</v>
      </c>
      <c r="F18" s="308" t="str">
        <f>VLOOKUP($E18,'BDEW-Standard'!$B$3:$M$94,F$9,0)</f>
        <v>DB3</v>
      </c>
      <c r="H18" s="279">
        <f>ROUND(VLOOKUP($E18,'BDEW-Standard'!$B$3:$M$94,H$9,0),7)</f>
        <v>1.4633681999999999</v>
      </c>
      <c r="I18" s="279">
        <f>ROUND(VLOOKUP($E18,'BDEW-Standard'!$B$3:$M$94,I$9,0),7)</f>
        <v>-36.179411700000003</v>
      </c>
      <c r="J18" s="279">
        <f>ROUND(VLOOKUP($E18,'BDEW-Standard'!$B$3:$M$94,J$9,0),7)</f>
        <v>5.9265162</v>
      </c>
      <c r="K18" s="279">
        <f>ROUND(VLOOKUP($E18,'BDEW-Standard'!$B$3:$M$94,K$9,0),7)</f>
        <v>8.0883499999999997E-2</v>
      </c>
      <c r="L18" s="280">
        <f>ROUND(VLOOKUP($E18,'BDEW-Standard'!$B$3:$M$94,L$9,0),1)</f>
        <v>40</v>
      </c>
      <c r="M18" s="279">
        <f>ROUND(VLOOKUP($E18,'BDEW-Standard'!$B$3:$M$94,M$9,0),7)</f>
        <v>-4.7579999999999997E-2</v>
      </c>
      <c r="N18" s="279">
        <f>ROUND(VLOOKUP($E18,'BDEW-Standard'!$B$3:$M$94,N$9,0),7)</f>
        <v>0.82307540000000001</v>
      </c>
      <c r="O18" s="279">
        <f>ROUND(VLOOKUP($E18,'BDEW-Standard'!$B$3:$M$94,O$9,0),7)</f>
        <v>-1.9273000000000001E-3</v>
      </c>
      <c r="P18" s="279">
        <f>ROUND(VLOOKUP($E18,'BDEW-Standard'!$B$3:$M$94,P$9,0),7)</f>
        <v>0.1077046</v>
      </c>
      <c r="Q18" s="281">
        <f t="shared" si="1"/>
        <v>0.99999993818735389</v>
      </c>
      <c r="R18" s="282">
        <f>ROUND(VLOOKUP(MID($E18,4,3),'Wochentag F(WT)'!$B$7:$J$22,R$9,0),4)</f>
        <v>1.1052</v>
      </c>
      <c r="S18" s="282">
        <f>ROUND(VLOOKUP(MID($E18,4,3),'Wochentag F(WT)'!$B$7:$J$22,S$9,0),4)</f>
        <v>1.0857000000000001</v>
      </c>
      <c r="T18" s="282">
        <f>ROUND(VLOOKUP(MID($E18,4,3),'Wochentag F(WT)'!$B$7:$J$22,T$9,0),4)</f>
        <v>1.0378000000000001</v>
      </c>
      <c r="U18" s="282">
        <f>ROUND(VLOOKUP(MID($E18,4,3),'Wochentag F(WT)'!$B$7:$J$22,U$9,0),4)</f>
        <v>1.0622</v>
      </c>
      <c r="V18" s="282">
        <f>ROUND(VLOOKUP(MID($E18,4,3),'Wochentag F(WT)'!$B$7:$J$22,V$9,0),4)</f>
        <v>1.0266</v>
      </c>
      <c r="W18" s="282">
        <f>ROUND(VLOOKUP(MID($E18,4,3),'Wochentag F(WT)'!$B$7:$J$22,W$9,0),4)</f>
        <v>0.76290000000000002</v>
      </c>
      <c r="X18" s="283">
        <f t="shared" si="2"/>
        <v>0.91959999999999997</v>
      </c>
      <c r="Y18" s="304"/>
      <c r="Z18" s="213"/>
    </row>
    <row r="19" spans="2:26" s="144" customFormat="1" x14ac:dyDescent="0.35">
      <c r="B19" s="145">
        <v>8</v>
      </c>
      <c r="C19" s="146" t="str">
        <f t="shared" si="0"/>
        <v>Musternetz 1</v>
      </c>
      <c r="D19" s="63" t="s">
        <v>249</v>
      </c>
      <c r="E19" s="166" t="s">
        <v>255</v>
      </c>
      <c r="F19" s="308" t="str">
        <f>VLOOKUP($E19,'BDEW-Standard'!$B$3:$M$94,F$9,0)</f>
        <v>AG3</v>
      </c>
      <c r="H19" s="279">
        <f>ROUND(VLOOKUP($E19,'BDEW-Standard'!$B$3:$M$94,H$9,0),7)</f>
        <v>1.1582082</v>
      </c>
      <c r="I19" s="279">
        <f>ROUND(VLOOKUP($E19,'BDEW-Standard'!$B$3:$M$94,I$9,0),7)</f>
        <v>-36.287858399999998</v>
      </c>
      <c r="J19" s="279">
        <f>ROUND(VLOOKUP($E19,'BDEW-Standard'!$B$3:$M$94,J$9,0),7)</f>
        <v>6.5885125999999996</v>
      </c>
      <c r="K19" s="279">
        <f>ROUND(VLOOKUP($E19,'BDEW-Standard'!$B$3:$M$94,K$9,0),7)</f>
        <v>0.22356799999999999</v>
      </c>
      <c r="L19" s="280">
        <f>ROUND(VLOOKUP($E19,'BDEW-Standard'!$B$3:$M$94,L$9,0),1)</f>
        <v>40</v>
      </c>
      <c r="M19" s="279">
        <f>ROUND(VLOOKUP($E19,'BDEW-Standard'!$B$3:$M$94,M$9,0),7)</f>
        <v>-4.1033500000000001E-2</v>
      </c>
      <c r="N19" s="279">
        <f>ROUND(VLOOKUP($E19,'BDEW-Standard'!$B$3:$M$94,N$9,0),7)</f>
        <v>0.75264509999999996</v>
      </c>
      <c r="O19" s="279">
        <f>ROUND(VLOOKUP($E19,'BDEW-Standard'!$B$3:$M$94,O$9,0),7)</f>
        <v>-9.0879999999999997E-4</v>
      </c>
      <c r="P19" s="279">
        <f>ROUND(VLOOKUP($E19,'BDEW-Standard'!$B$3:$M$94,P$9,0),7)</f>
        <v>0.1916641</v>
      </c>
      <c r="Q19" s="281">
        <f t="shared" si="1"/>
        <v>0.99999977999083423</v>
      </c>
      <c r="R19" s="282">
        <f>ROUND(VLOOKUP(MID($E19,4,3),'Wochentag F(WT)'!$B$7:$J$22,R$9,0),4)</f>
        <v>0.93220000000000003</v>
      </c>
      <c r="S19" s="282">
        <f>ROUND(VLOOKUP(MID($E19,4,3),'Wochentag F(WT)'!$B$7:$J$22,S$9,0),4)</f>
        <v>0.98939999999999995</v>
      </c>
      <c r="T19" s="282">
        <f>ROUND(VLOOKUP(MID($E19,4,3),'Wochentag F(WT)'!$B$7:$J$22,T$9,0),4)</f>
        <v>1.0033000000000001</v>
      </c>
      <c r="U19" s="282">
        <f>ROUND(VLOOKUP(MID($E19,4,3),'Wochentag F(WT)'!$B$7:$J$22,U$9,0),4)</f>
        <v>1.0108999999999999</v>
      </c>
      <c r="V19" s="282">
        <f>ROUND(VLOOKUP(MID($E19,4,3),'Wochentag F(WT)'!$B$7:$J$22,V$9,0),4)</f>
        <v>1.018</v>
      </c>
      <c r="W19" s="282">
        <f>ROUND(VLOOKUP(MID($E19,4,3),'Wochentag F(WT)'!$B$7:$J$22,W$9,0),4)</f>
        <v>1.0356000000000001</v>
      </c>
      <c r="X19" s="283">
        <f t="shared" si="2"/>
        <v>1.0106000000000002</v>
      </c>
      <c r="Y19" s="304"/>
      <c r="Z19" s="213"/>
    </row>
    <row r="20" spans="2:26" s="144" customFormat="1" x14ac:dyDescent="0.35">
      <c r="B20" s="145">
        <v>9</v>
      </c>
      <c r="C20" s="146" t="str">
        <f t="shared" si="0"/>
        <v>Musternetz 1</v>
      </c>
      <c r="D20" s="63" t="s">
        <v>249</v>
      </c>
      <c r="E20" s="166" t="s">
        <v>259</v>
      </c>
      <c r="F20" s="308" t="str">
        <f>VLOOKUP($E20,'BDEW-Standard'!$B$3:$M$94,F$9,0)</f>
        <v>HB3</v>
      </c>
      <c r="H20" s="279">
        <f>ROUND(VLOOKUP($E20,'BDEW-Standard'!$B$3:$M$94,H$9,0),7)</f>
        <v>0.98742830000000004</v>
      </c>
      <c r="I20" s="279">
        <f>ROUND(VLOOKUP($E20,'BDEW-Standard'!$B$3:$M$94,I$9,0),7)</f>
        <v>-35.253212400000002</v>
      </c>
      <c r="J20" s="279">
        <f>ROUND(VLOOKUP($E20,'BDEW-Standard'!$B$3:$M$94,J$9,0),7)</f>
        <v>6.1544406</v>
      </c>
      <c r="K20" s="279">
        <f>ROUND(VLOOKUP($E20,'BDEW-Standard'!$B$3:$M$94,K$9,0),7)</f>
        <v>0.22657160000000001</v>
      </c>
      <c r="L20" s="280">
        <f>ROUND(VLOOKUP($E20,'BDEW-Standard'!$B$3:$M$94,L$9,0),1)</f>
        <v>40</v>
      </c>
      <c r="M20" s="279">
        <f>ROUND(VLOOKUP($E20,'BDEW-Standard'!$B$3:$M$94,M$9,0),7)</f>
        <v>-3.3902000000000002E-2</v>
      </c>
      <c r="N20" s="279">
        <f>ROUND(VLOOKUP($E20,'BDEW-Standard'!$B$3:$M$94,N$9,0),7)</f>
        <v>0.69382339999999998</v>
      </c>
      <c r="O20" s="279">
        <f>ROUND(VLOOKUP($E20,'BDEW-Standard'!$B$3:$M$94,O$9,0),7)</f>
        <v>-1.2849000000000001E-3</v>
      </c>
      <c r="P20" s="279">
        <f>ROUND(VLOOKUP($E20,'BDEW-Standard'!$B$3:$M$94,P$9,0),7)</f>
        <v>0.20297319999999999</v>
      </c>
      <c r="Q20" s="281">
        <f t="shared" si="1"/>
        <v>0.99999983700977324</v>
      </c>
      <c r="R20" s="282">
        <f>ROUND(VLOOKUP(MID($E20,4,3),'Wochentag F(WT)'!$B$7:$J$22,R$9,0),4)</f>
        <v>0.97670000000000001</v>
      </c>
      <c r="S20" s="282">
        <f>ROUND(VLOOKUP(MID($E20,4,3),'Wochentag F(WT)'!$B$7:$J$22,S$9,0),4)</f>
        <v>1.0388999999999999</v>
      </c>
      <c r="T20" s="282">
        <f>ROUND(VLOOKUP(MID($E20,4,3),'Wochentag F(WT)'!$B$7:$J$22,T$9,0),4)</f>
        <v>1.0027999999999999</v>
      </c>
      <c r="U20" s="282">
        <f>ROUND(VLOOKUP(MID($E20,4,3),'Wochentag F(WT)'!$B$7:$J$22,U$9,0),4)</f>
        <v>1.0162</v>
      </c>
      <c r="V20" s="282">
        <f>ROUND(VLOOKUP(MID($E20,4,3),'Wochentag F(WT)'!$B$7:$J$22,V$9,0),4)</f>
        <v>1.0024</v>
      </c>
      <c r="W20" s="282">
        <f>ROUND(VLOOKUP(MID($E20,4,3),'Wochentag F(WT)'!$B$7:$J$22,W$9,0),4)</f>
        <v>1.0043</v>
      </c>
      <c r="X20" s="283">
        <f t="shared" si="2"/>
        <v>0.95870000000000122</v>
      </c>
      <c r="Y20" s="304"/>
      <c r="Z20" s="213"/>
    </row>
    <row r="21" spans="2:26" s="144" customFormat="1" x14ac:dyDescent="0.35">
      <c r="B21" s="145">
        <v>10</v>
      </c>
      <c r="C21" s="146" t="str">
        <f t="shared" si="0"/>
        <v>Musternetz 1</v>
      </c>
      <c r="D21" s="63" t="s">
        <v>249</v>
      </c>
      <c r="E21" s="166" t="s">
        <v>256</v>
      </c>
      <c r="F21" s="308" t="str">
        <f>VLOOKUP($E21,'BDEW-Standard'!$B$3:$M$94,F$9,0)</f>
        <v>AW3</v>
      </c>
      <c r="H21" s="279">
        <f>ROUND(VLOOKUP($E21,'BDEW-Standard'!$B$3:$M$94,H$9,0),7)</f>
        <v>0.33378380000000002</v>
      </c>
      <c r="I21" s="279">
        <f>ROUND(VLOOKUP($E21,'BDEW-Standard'!$B$3:$M$94,I$9,0),7)</f>
        <v>-36.023791199999998</v>
      </c>
      <c r="J21" s="279">
        <f>ROUND(VLOOKUP($E21,'BDEW-Standard'!$B$3:$M$94,J$9,0),7)</f>
        <v>4.8662747</v>
      </c>
      <c r="K21" s="279">
        <f>ROUND(VLOOKUP($E21,'BDEW-Standard'!$B$3:$M$94,K$9,0),7)</f>
        <v>0.491228</v>
      </c>
      <c r="L21" s="280">
        <f>ROUND(VLOOKUP($E21,'BDEW-Standard'!$B$3:$M$94,L$9,0),1)</f>
        <v>40</v>
      </c>
      <c r="M21" s="279">
        <f>ROUND(VLOOKUP($E21,'BDEW-Standard'!$B$3:$M$94,M$9,0),7)</f>
        <v>-9.2262999999999998E-3</v>
      </c>
      <c r="N21" s="279">
        <f>ROUND(VLOOKUP($E21,'BDEW-Standard'!$B$3:$M$94,N$9,0),7)</f>
        <v>0.45957569999999998</v>
      </c>
      <c r="O21" s="279">
        <f>ROUND(VLOOKUP($E21,'BDEW-Standard'!$B$3:$M$94,O$9,0),7)</f>
        <v>-9.6759999999999999E-4</v>
      </c>
      <c r="P21" s="279">
        <f>ROUND(VLOOKUP($E21,'BDEW-Standard'!$B$3:$M$94,P$9,0),7)</f>
        <v>0.39642909999999998</v>
      </c>
      <c r="Q21" s="281">
        <f t="shared" si="1"/>
        <v>1.000000394217609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 x14ac:dyDescent="0.35">
      <c r="B22" s="145">
        <v>11</v>
      </c>
      <c r="C22" s="146" t="str">
        <f t="shared" si="0"/>
        <v>Musternetz 1</v>
      </c>
      <c r="D22" s="63" t="s">
        <v>249</v>
      </c>
      <c r="E22" s="166" t="s">
        <v>527</v>
      </c>
      <c r="F22" s="308" t="str">
        <f>VLOOKUP($E22,'BDEW-Standard'!$B$3:$M$94,F$9,0)</f>
        <v>DH3</v>
      </c>
      <c r="H22" s="279">
        <f>ROUND(VLOOKUP($E22,'BDEW-Standard'!$B$3:$M$94,H$9,0),7)</f>
        <v>1.3010622999999999</v>
      </c>
      <c r="I22" s="279">
        <f>ROUND(VLOOKUP($E22,'BDEW-Standard'!$B$3:$M$94,I$9,0),7)</f>
        <v>-35.681614400000001</v>
      </c>
      <c r="J22" s="279">
        <f>ROUND(VLOOKUP($E22,'BDEW-Standard'!$B$3:$M$94,J$9,0),7)</f>
        <v>6.6857975999999999</v>
      </c>
      <c r="K22" s="279">
        <f>ROUND(VLOOKUP($E22,'BDEW-Standard'!$B$3:$M$94,K$9,0),7)</f>
        <v>0.14092669999999999</v>
      </c>
      <c r="L22" s="280">
        <f>ROUND(VLOOKUP($E22,'BDEW-Standard'!$B$3:$M$94,L$9,0),1)</f>
        <v>40</v>
      </c>
      <c r="M22" s="279">
        <f>ROUND(VLOOKUP($E22,'BDEW-Standard'!$B$3:$M$94,M$9,0),7)</f>
        <v>-4.7342799999999997E-2</v>
      </c>
      <c r="N22" s="279">
        <f>ROUND(VLOOKUP($E22,'BDEW-Standard'!$B$3:$M$94,N$9,0),7)</f>
        <v>0.81416909999999998</v>
      </c>
      <c r="O22" s="279">
        <f>ROUND(VLOOKUP($E22,'BDEW-Standard'!$B$3:$M$94,O$9,0),7)</f>
        <v>-1.0601E-3</v>
      </c>
      <c r="P22" s="279">
        <f>ROUND(VLOOKUP($E22,'BDEW-Standard'!$B$3:$M$94,P$9,0),7)</f>
        <v>0.13250919999999999</v>
      </c>
      <c r="Q22" s="281">
        <f t="shared" si="1"/>
        <v>1.000000069455792</v>
      </c>
      <c r="R22" s="282">
        <f>ROUND(VLOOKUP(MID($E22,4,3),'Wochentag F(WT)'!$B$7:$J$22,R$9,0),4)</f>
        <v>1.03</v>
      </c>
      <c r="S22" s="282">
        <f>ROUND(VLOOKUP(MID($E22,4,3),'Wochentag F(WT)'!$B$7:$J$22,S$9,0),4)</f>
        <v>1.03</v>
      </c>
      <c r="T22" s="282">
        <f>ROUND(VLOOKUP(MID($E22,4,3),'Wochentag F(WT)'!$B$7:$J$22,T$9,0),4)</f>
        <v>1.02</v>
      </c>
      <c r="U22" s="282">
        <f>ROUND(VLOOKUP(MID($E22,4,3),'Wochentag F(WT)'!$B$7:$J$22,U$9,0),4)</f>
        <v>1.03</v>
      </c>
      <c r="V22" s="282">
        <f>ROUND(VLOOKUP(MID($E22,4,3),'Wochentag F(WT)'!$B$7:$J$22,V$9,0),4)</f>
        <v>1.01</v>
      </c>
      <c r="W22" s="282">
        <f>ROUND(VLOOKUP(MID($E22,4,3),'Wochentag F(WT)'!$B$7:$J$22,W$9,0),4)</f>
        <v>0.93</v>
      </c>
      <c r="X22" s="283">
        <f t="shared" si="2"/>
        <v>0.95000000000000018</v>
      </c>
      <c r="Y22" s="304"/>
      <c r="Z22" s="213"/>
    </row>
    <row r="23" spans="2:26" s="144" customFormat="1" x14ac:dyDescent="0.35">
      <c r="B23" s="145">
        <v>12</v>
      </c>
      <c r="C23" s="146" t="str">
        <f t="shared" si="0"/>
        <v>Musternetz 1</v>
      </c>
      <c r="D23" s="63" t="s">
        <v>249</v>
      </c>
      <c r="E23" s="166" t="s">
        <v>258</v>
      </c>
      <c r="F23" s="308" t="str">
        <f>VLOOKUP($E23,'BDEW-Standard'!$B$3:$M$94,F$9,0)</f>
        <v>BG3</v>
      </c>
      <c r="H23" s="279">
        <f>ROUND(VLOOKUP($E23,'BDEW-Standard'!$B$3:$M$94,H$9,0),7)</f>
        <v>1.8213778</v>
      </c>
      <c r="I23" s="279">
        <f>ROUND(VLOOKUP($E23,'BDEW-Standard'!$B$3:$M$94,I$9,0),7)</f>
        <v>-37.5</v>
      </c>
      <c r="J23" s="279">
        <f>ROUND(VLOOKUP($E23,'BDEW-Standard'!$B$3:$M$94,J$9,0),7)</f>
        <v>6.3462148000000003</v>
      </c>
      <c r="K23" s="279">
        <f>ROUND(VLOOKUP($E23,'BDEW-Standard'!$B$3:$M$94,K$9,0),7)</f>
        <v>6.7811800000000005E-2</v>
      </c>
      <c r="L23" s="280">
        <f>ROUND(VLOOKUP($E23,'BDEW-Standard'!$B$3:$M$94,L$9,0),1)</f>
        <v>40</v>
      </c>
      <c r="M23" s="279">
        <f>ROUND(VLOOKUP($E23,'BDEW-Standard'!$B$3:$M$94,M$9,0),7)</f>
        <v>-6.0766599999999997E-2</v>
      </c>
      <c r="N23" s="279">
        <f>ROUND(VLOOKUP($E23,'BDEW-Standard'!$B$3:$M$94,N$9,0),7)</f>
        <v>0.93081590000000003</v>
      </c>
      <c r="O23" s="279">
        <f>ROUND(VLOOKUP($E23,'BDEW-Standard'!$B$3:$M$94,O$9,0),7)</f>
        <v>-1.3967000000000001E-3</v>
      </c>
      <c r="P23" s="279">
        <f>ROUND(VLOOKUP($E23,'BDEW-Standard'!$B$3:$M$94,P$9,0),7)</f>
        <v>8.5039900000000002E-2</v>
      </c>
      <c r="Q23" s="281">
        <f t="shared" si="1"/>
        <v>0.99999980465705085</v>
      </c>
      <c r="R23" s="282">
        <f>ROUND(VLOOKUP(MID($E23,4,3),'Wochentag F(WT)'!$B$7:$J$22,R$9,0),4)</f>
        <v>0.98970000000000002</v>
      </c>
      <c r="S23" s="282">
        <f>ROUND(VLOOKUP(MID($E23,4,3),'Wochentag F(WT)'!$B$7:$J$22,S$9,0),4)</f>
        <v>0.9627</v>
      </c>
      <c r="T23" s="282">
        <f>ROUND(VLOOKUP(MID($E23,4,3),'Wochentag F(WT)'!$B$7:$J$22,T$9,0),4)</f>
        <v>1.0507</v>
      </c>
      <c r="U23" s="282">
        <f>ROUND(VLOOKUP(MID($E23,4,3),'Wochentag F(WT)'!$B$7:$J$22,U$9,0),4)</f>
        <v>1.0551999999999999</v>
      </c>
      <c r="V23" s="282">
        <f>ROUND(VLOOKUP(MID($E23,4,3),'Wochentag F(WT)'!$B$7:$J$22,V$9,0),4)</f>
        <v>1.0297000000000001</v>
      </c>
      <c r="W23" s="282">
        <f>ROUND(VLOOKUP(MID($E23,4,3),'Wochentag F(WT)'!$B$7:$J$22,W$9,0),4)</f>
        <v>0.97670000000000001</v>
      </c>
      <c r="X23" s="283">
        <f t="shared" si="2"/>
        <v>0.9352999999999998</v>
      </c>
      <c r="Y23" s="304"/>
      <c r="Z23" s="213"/>
    </row>
    <row r="24" spans="2:26" s="144" customFormat="1" x14ac:dyDescent="0.35">
      <c r="B24" s="145">
        <v>13</v>
      </c>
      <c r="C24" s="146" t="str">
        <f t="shared" si="0"/>
        <v>Musternetz 1</v>
      </c>
      <c r="D24" s="63" t="s">
        <v>249</v>
      </c>
      <c r="E24" s="166" t="s">
        <v>257</v>
      </c>
      <c r="F24" s="308" t="str">
        <f>VLOOKUP($E24,'BDEW-Standard'!$B$3:$M$94,F$9,0)</f>
        <v>DP3</v>
      </c>
      <c r="H24" s="279">
        <f>ROUND(VLOOKUP($E24,'BDEW-Standard'!$B$3:$M$94,H$9,0),7)</f>
        <v>1.7110738999999999</v>
      </c>
      <c r="I24" s="279">
        <f>ROUND(VLOOKUP($E24,'BDEW-Standard'!$B$3:$M$94,I$9,0),7)</f>
        <v>-35.799999999999997</v>
      </c>
      <c r="J24" s="279">
        <f>ROUND(VLOOKUP($E24,'BDEW-Standard'!$B$3:$M$94,J$9,0),7)</f>
        <v>8.4</v>
      </c>
      <c r="K24" s="279">
        <f>ROUND(VLOOKUP($E24,'BDEW-Standard'!$B$3:$M$94,K$9,0),7)</f>
        <v>7.02546E-2</v>
      </c>
      <c r="L24" s="280">
        <f>ROUND(VLOOKUP($E24,'BDEW-Standard'!$B$3:$M$94,L$9,0),1)</f>
        <v>40</v>
      </c>
      <c r="M24" s="279">
        <f>ROUND(VLOOKUP($E24,'BDEW-Standard'!$B$3:$M$94,M$9,0),7)</f>
        <v>-7.4538099999999996E-2</v>
      </c>
      <c r="N24" s="279">
        <f>ROUND(VLOOKUP($E24,'BDEW-Standard'!$B$3:$M$94,N$9,0),7)</f>
        <v>1.0463005000000001</v>
      </c>
      <c r="O24" s="279">
        <f>ROUND(VLOOKUP($E24,'BDEW-Standard'!$B$3:$M$94,O$9,0),7)</f>
        <v>-3.6719999999999998E-4</v>
      </c>
      <c r="P24" s="279">
        <f>ROUND(VLOOKUP($E24,'BDEW-Standard'!$B$3:$M$94,P$9,0),7)</f>
        <v>6.2188199999999999E-2</v>
      </c>
      <c r="Q24" s="281">
        <f t="shared" si="1"/>
        <v>1.0000000773228386</v>
      </c>
      <c r="R24" s="282">
        <f>ROUND(VLOOKUP(MID($E24,4,3),'Wochentag F(WT)'!$B$7:$J$22,R$9,0),4)</f>
        <v>1.0214000000000001</v>
      </c>
      <c r="S24" s="282">
        <f>ROUND(VLOOKUP(MID($E24,4,3),'Wochentag F(WT)'!$B$7:$J$22,S$9,0),4)</f>
        <v>1.0866</v>
      </c>
      <c r="T24" s="282">
        <f>ROUND(VLOOKUP(MID($E24,4,3),'Wochentag F(WT)'!$B$7:$J$22,T$9,0),4)</f>
        <v>1.0720000000000001</v>
      </c>
      <c r="U24" s="282">
        <f>ROUND(VLOOKUP(MID($E24,4,3),'Wochentag F(WT)'!$B$7:$J$22,U$9,0),4)</f>
        <v>1.0557000000000001</v>
      </c>
      <c r="V24" s="282">
        <f>ROUND(VLOOKUP(MID($E24,4,3),'Wochentag F(WT)'!$B$7:$J$22,V$9,0),4)</f>
        <v>1.0117</v>
      </c>
      <c r="W24" s="282">
        <f>ROUND(VLOOKUP(MID($E24,4,3),'Wochentag F(WT)'!$B$7:$J$22,W$9,0),4)</f>
        <v>0.90010000000000001</v>
      </c>
      <c r="X24" s="283">
        <f t="shared" si="2"/>
        <v>0.85249999999999915</v>
      </c>
      <c r="Y24" s="304"/>
      <c r="Z24" s="213"/>
    </row>
    <row r="25" spans="2:26" s="144" customFormat="1" x14ac:dyDescent="0.35">
      <c r="B25" s="145">
        <v>14</v>
      </c>
      <c r="C25" s="146" t="str">
        <f t="shared" si="0"/>
        <v>Musternetz 1</v>
      </c>
      <c r="D25" s="63" t="s">
        <v>249</v>
      </c>
      <c r="E25" s="166" t="s">
        <v>4</v>
      </c>
      <c r="F25" s="308" t="str">
        <f>VLOOKUP($E25,'BDEW-Standard'!$B$3:$M$94,F$9,0)</f>
        <v>D13</v>
      </c>
      <c r="H25" s="279">
        <f>ROUND(VLOOKUP($E25,'BDEW-Standard'!$B$3:$M$94,H$9,0),7)</f>
        <v>3.0469694999999999</v>
      </c>
      <c r="I25" s="279">
        <f>ROUND(VLOOKUP($E25,'BDEW-Standard'!$B$3:$M$94,I$9,0),7)</f>
        <v>-37.183314099999997</v>
      </c>
      <c r="J25" s="279">
        <f>ROUND(VLOOKUP($E25,'BDEW-Standard'!$B$3:$M$94,J$9,0),7)</f>
        <v>5.6727847000000002</v>
      </c>
      <c r="K25" s="279">
        <f>ROUND(VLOOKUP($E25,'BDEW-Standard'!$B$3:$M$94,K$9,0),7)</f>
        <v>9.6193100000000004E-2</v>
      </c>
      <c r="L25" s="280">
        <f>ROUND(VLOOKUP($E25,'BDEW-Standard'!$B$3:$M$94,L$9,0),1)</f>
        <v>40</v>
      </c>
      <c r="M25" s="279">
        <f>ROUND(VLOOKUP($E25,'BDEW-Standard'!$B$3:$M$94,M$9,0),7)</f>
        <v>0</v>
      </c>
      <c r="N25" s="279">
        <f>ROUND(VLOOKUP($E25,'BDEW-Standard'!$B$3:$M$94,N$9,0),7)</f>
        <v>0</v>
      </c>
      <c r="O25" s="279">
        <f>ROUND(VLOOKUP($E25,'BDEW-Standard'!$B$3:$M$94,O$9,0),7)</f>
        <v>0</v>
      </c>
      <c r="P25" s="279">
        <f>ROUND(VLOOKUP($E25,'BDEW-Standard'!$B$3:$M$94,P$9,0),7)</f>
        <v>0</v>
      </c>
      <c r="Q25" s="281">
        <f t="shared" si="1"/>
        <v>1.0075192723557669</v>
      </c>
      <c r="R25" s="282">
        <f>ROUND(VLOOKUP(MID($E25,4,3),'Wochentag F(WT)'!$B$7:$J$22,R$9,0),4)</f>
        <v>1</v>
      </c>
      <c r="S25" s="282">
        <f>ROUND(VLOOKUP(MID($E25,4,3),'Wochentag F(WT)'!$B$7:$J$22,S$9,0),4)</f>
        <v>1</v>
      </c>
      <c r="T25" s="282">
        <f>ROUND(VLOOKUP(MID($E25,4,3),'Wochentag F(WT)'!$B$7:$J$22,T$9,0),4)</f>
        <v>1</v>
      </c>
      <c r="U25" s="282">
        <f>ROUND(VLOOKUP(MID($E25,4,3),'Wochentag F(WT)'!$B$7:$J$22,U$9,0),4)</f>
        <v>1</v>
      </c>
      <c r="V25" s="282">
        <f>ROUND(VLOOKUP(MID($E25,4,3),'Wochentag F(WT)'!$B$7:$J$22,V$9,0),4)</f>
        <v>1</v>
      </c>
      <c r="W25" s="282">
        <f>ROUND(VLOOKUP(MID($E25,4,3),'Wochentag F(WT)'!$B$7:$J$22,W$9,0),4)</f>
        <v>1</v>
      </c>
      <c r="X25" s="283">
        <f t="shared" si="2"/>
        <v>1</v>
      </c>
      <c r="Y25" s="304"/>
      <c r="Z25" s="213"/>
    </row>
    <row r="26" spans="2:26" s="144" customFormat="1" x14ac:dyDescent="0.35">
      <c r="B26" s="145">
        <v>15</v>
      </c>
      <c r="C26" s="146" t="str">
        <f t="shared" si="0"/>
        <v>Musternetz 1</v>
      </c>
      <c r="D26" s="63" t="s">
        <v>249</v>
      </c>
      <c r="E26" s="166" t="s">
        <v>604</v>
      </c>
      <c r="F26" s="308" t="str">
        <f>VLOOKUP($E26,'BDEW-Standard'!$B$3:$M$94,F$9,0)</f>
        <v>D23</v>
      </c>
      <c r="H26" s="279">
        <f>ROUND(VLOOKUP($E26,'BDEW-Standard'!$B$3:$M$94,H$9,0),7)</f>
        <v>2.3877617999999998</v>
      </c>
      <c r="I26" s="279">
        <f>ROUND(VLOOKUP($E26,'BDEW-Standard'!$B$3:$M$94,I$9,0),7)</f>
        <v>-34.721360500000003</v>
      </c>
      <c r="J26" s="279">
        <f>ROUND(VLOOKUP($E26,'BDEW-Standard'!$B$3:$M$94,J$9,0),7)</f>
        <v>5.8164303999999998</v>
      </c>
      <c r="K26" s="279">
        <f>ROUND(VLOOKUP($E26,'BDEW-Standard'!$B$3:$M$94,K$9,0),7)</f>
        <v>0.12081939999999999</v>
      </c>
      <c r="L26" s="280">
        <f>ROUND(VLOOKUP($E26,'BDEW-Standard'!$B$3:$M$94,L$9,0),1)</f>
        <v>40</v>
      </c>
      <c r="M26" s="279">
        <f>ROUND(VLOOKUP($E26,'BDEW-Standard'!$B$3:$M$94,M$9,0),7)</f>
        <v>0</v>
      </c>
      <c r="N26" s="279">
        <f>ROUND(VLOOKUP($E26,'BDEW-Standard'!$B$3:$M$94,N$9,0),7)</f>
        <v>0</v>
      </c>
      <c r="O26" s="279">
        <f>ROUND(VLOOKUP($E26,'BDEW-Standard'!$B$3:$M$94,O$9,0),7)</f>
        <v>0</v>
      </c>
      <c r="P26" s="279">
        <f>ROUND(VLOOKUP($E26,'BDEW-Standard'!$B$3:$M$94,P$9,0),7)</f>
        <v>0</v>
      </c>
      <c r="Q26" s="281">
        <f t="shared" si="1"/>
        <v>1.0365184142102302</v>
      </c>
      <c r="R26" s="282">
        <f>ROUND(VLOOKUP(MID($E26,4,3),'Wochentag F(WT)'!$B$7:$J$22,R$9,0),4)</f>
        <v>1</v>
      </c>
      <c r="S26" s="282">
        <f>ROUND(VLOOKUP(MID($E26,4,3),'Wochentag F(WT)'!$B$7:$J$22,S$9,0),4)</f>
        <v>1</v>
      </c>
      <c r="T26" s="282">
        <f>ROUND(VLOOKUP(MID($E26,4,3),'Wochentag F(WT)'!$B$7:$J$22,T$9,0),4)</f>
        <v>1</v>
      </c>
      <c r="U26" s="282">
        <f>ROUND(VLOOKUP(MID($E26,4,3),'Wochentag F(WT)'!$B$7:$J$22,U$9,0),4)</f>
        <v>1</v>
      </c>
      <c r="V26" s="282">
        <f>ROUND(VLOOKUP(MID($E26,4,3),'Wochentag F(WT)'!$B$7:$J$22,V$9,0),4)</f>
        <v>1</v>
      </c>
      <c r="W26" s="282">
        <f>ROUND(VLOOKUP(MID($E26,4,3),'Wochentag F(WT)'!$B$7:$J$22,W$9,0),4)</f>
        <v>1</v>
      </c>
      <c r="X26" s="283">
        <f t="shared" si="2"/>
        <v>1</v>
      </c>
      <c r="Y26" s="304"/>
      <c r="Z26" s="213"/>
    </row>
    <row r="27" spans="2:26" s="144" customFormat="1" x14ac:dyDescent="0.35">
      <c r="B27" s="145">
        <v>16</v>
      </c>
      <c r="C27" s="146" t="str">
        <f t="shared" si="0"/>
        <v>Musternetz 1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 x14ac:dyDescent="0.35">
      <c r="B28" s="145">
        <v>17</v>
      </c>
      <c r="C28" s="146" t="str">
        <f t="shared" si="0"/>
        <v>Musternetz 1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 x14ac:dyDescent="0.35">
      <c r="B29" s="145">
        <v>18</v>
      </c>
      <c r="C29" s="146" t="str">
        <f t="shared" si="0"/>
        <v>Musternetz 1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 x14ac:dyDescent="0.35">
      <c r="B30" s="145">
        <v>19</v>
      </c>
      <c r="C30" s="146" t="str">
        <f t="shared" si="0"/>
        <v>Musternetz 1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 x14ac:dyDescent="0.35">
      <c r="B31" s="145">
        <v>20</v>
      </c>
      <c r="C31" s="146" t="str">
        <f t="shared" si="0"/>
        <v>Musternetz 1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 x14ac:dyDescent="0.35">
      <c r="B32" s="145">
        <v>21</v>
      </c>
      <c r="C32" s="146" t="str">
        <f t="shared" si="0"/>
        <v>Musternetz 1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 x14ac:dyDescent="0.35">
      <c r="B33" s="145">
        <v>22</v>
      </c>
      <c r="C33" s="146" t="str">
        <f t="shared" si="0"/>
        <v>Musternetz 1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 x14ac:dyDescent="0.35">
      <c r="B34" s="145">
        <v>23</v>
      </c>
      <c r="C34" s="146" t="str">
        <f t="shared" si="0"/>
        <v>Musternetz 1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 x14ac:dyDescent="0.35">
      <c r="B35" s="145">
        <v>24</v>
      </c>
      <c r="C35" s="146" t="str">
        <f t="shared" si="0"/>
        <v>Musternetz 1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 x14ac:dyDescent="0.35">
      <c r="B36" s="145">
        <v>25</v>
      </c>
      <c r="C36" s="146" t="str">
        <f t="shared" si="0"/>
        <v>Musternetz 1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 x14ac:dyDescent="0.35">
      <c r="B37" s="145">
        <v>26</v>
      </c>
      <c r="C37" s="146" t="str">
        <f t="shared" si="0"/>
        <v>Musternetz 1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 x14ac:dyDescent="0.35">
      <c r="B38" s="145">
        <v>27</v>
      </c>
      <c r="C38" s="146" t="str">
        <f t="shared" si="0"/>
        <v>Musternetz 1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 x14ac:dyDescent="0.35">
      <c r="B39" s="145">
        <v>28</v>
      </c>
      <c r="C39" s="146" t="str">
        <f t="shared" si="0"/>
        <v>Musternetz 1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 x14ac:dyDescent="0.35">
      <c r="B40" s="145">
        <v>29</v>
      </c>
      <c r="C40" s="146" t="str">
        <f t="shared" si="0"/>
        <v>Musternetz 1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 x14ac:dyDescent="0.35">
      <c r="B41" s="145">
        <v>30</v>
      </c>
      <c r="C41" s="146" t="str">
        <f t="shared" si="0"/>
        <v>Musternetz 1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 x14ac:dyDescent="0.35"/>
    <row r="43" spans="2:25" x14ac:dyDescent="0.35"/>
    <row r="44" spans="2:25" x14ac:dyDescent="0.35"/>
    <row r="45" spans="2:25" x14ac:dyDescent="0.35"/>
    <row r="46" spans="2:25" x14ac:dyDescent="0.35"/>
    <row r="47" spans="2:25" x14ac:dyDescent="0.35"/>
    <row r="48" spans="2:25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53125" defaultRowHeight="14.5" x14ac:dyDescent="0.35"/>
  <cols>
    <col min="1" max="3" width="11.453125" style="129"/>
    <col min="4" max="4" width="19.81640625" style="129" customWidth="1"/>
    <col min="5" max="9" width="16" style="129" customWidth="1"/>
    <col min="10" max="10" width="15.1796875" style="129" customWidth="1"/>
    <col min="11" max="12" width="16" style="129" customWidth="1"/>
    <col min="13" max="13" width="15.26953125" style="129" customWidth="1"/>
    <col min="14" max="16384" width="11.453125" style="129"/>
  </cols>
  <sheetData>
    <row r="1" spans="1:14" x14ac:dyDescent="0.35">
      <c r="A1" s="216" t="s">
        <v>354</v>
      </c>
      <c r="B1" s="217">
        <v>42173</v>
      </c>
      <c r="D1" s="132" t="s">
        <v>461</v>
      </c>
      <c r="F1" s="218" t="s">
        <v>565</v>
      </c>
      <c r="N1" s="219"/>
    </row>
    <row r="2" spans="1:14" ht="25" x14ac:dyDescent="0.35">
      <c r="A2" s="220" t="s">
        <v>278</v>
      </c>
      <c r="B2" s="221" t="s">
        <v>147</v>
      </c>
      <c r="C2" s="222" t="s">
        <v>149</v>
      </c>
      <c r="D2" s="223" t="s">
        <v>150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71</v>
      </c>
      <c r="J2" s="224" t="s">
        <v>151</v>
      </c>
      <c r="K2" s="224" t="s">
        <v>152</v>
      </c>
      <c r="L2" s="224" t="s">
        <v>153</v>
      </c>
      <c r="M2" s="226" t="s">
        <v>245</v>
      </c>
    </row>
    <row r="3" spans="1:14" x14ac:dyDescent="0.35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154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 x14ac:dyDescent="0.35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155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 x14ac:dyDescent="0.35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156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 x14ac:dyDescent="0.35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157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 x14ac:dyDescent="0.35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158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 x14ac:dyDescent="0.35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159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 x14ac:dyDescent="0.35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160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 x14ac:dyDescent="0.35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161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 x14ac:dyDescent="0.35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162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 x14ac:dyDescent="0.35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163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 x14ac:dyDescent="0.35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247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 x14ac:dyDescent="0.35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164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 x14ac:dyDescent="0.35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165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 x14ac:dyDescent="0.35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166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 x14ac:dyDescent="0.35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167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 x14ac:dyDescent="0.35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168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 x14ac:dyDescent="0.35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169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 x14ac:dyDescent="0.35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170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 x14ac:dyDescent="0.35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171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 x14ac:dyDescent="0.35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172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 x14ac:dyDescent="0.35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173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 x14ac:dyDescent="0.35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174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 x14ac:dyDescent="0.35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175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 x14ac:dyDescent="0.35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176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 x14ac:dyDescent="0.35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177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 x14ac:dyDescent="0.35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178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 x14ac:dyDescent="0.35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179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 x14ac:dyDescent="0.35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180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 x14ac:dyDescent="0.35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181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 x14ac:dyDescent="0.35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182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 x14ac:dyDescent="0.35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183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 x14ac:dyDescent="0.35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184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 x14ac:dyDescent="0.35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185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 x14ac:dyDescent="0.35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186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 x14ac:dyDescent="0.35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187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 x14ac:dyDescent="0.35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188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 x14ac:dyDescent="0.35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189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 x14ac:dyDescent="0.35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190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 x14ac:dyDescent="0.35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191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 x14ac:dyDescent="0.35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192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 x14ac:dyDescent="0.35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193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 x14ac:dyDescent="0.35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194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 x14ac:dyDescent="0.35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195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 x14ac:dyDescent="0.35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196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 x14ac:dyDescent="0.35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197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 x14ac:dyDescent="0.35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198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 x14ac:dyDescent="0.35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199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 x14ac:dyDescent="0.35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200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 x14ac:dyDescent="0.35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201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 x14ac:dyDescent="0.35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202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 x14ac:dyDescent="0.35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203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 x14ac:dyDescent="0.35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204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 x14ac:dyDescent="0.35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205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 x14ac:dyDescent="0.35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206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 x14ac:dyDescent="0.35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207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 x14ac:dyDescent="0.35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208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 x14ac:dyDescent="0.35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209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 x14ac:dyDescent="0.35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210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 x14ac:dyDescent="0.35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211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 x14ac:dyDescent="0.35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212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 x14ac:dyDescent="0.35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213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 x14ac:dyDescent="0.35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214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 x14ac:dyDescent="0.35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215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 x14ac:dyDescent="0.35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216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 x14ac:dyDescent="0.35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217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 x14ac:dyDescent="0.35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218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 x14ac:dyDescent="0.35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219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 x14ac:dyDescent="0.35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220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 x14ac:dyDescent="0.35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221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 x14ac:dyDescent="0.35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222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 x14ac:dyDescent="0.35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223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 x14ac:dyDescent="0.35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224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 x14ac:dyDescent="0.35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225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 x14ac:dyDescent="0.35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226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 x14ac:dyDescent="0.35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227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 x14ac:dyDescent="0.35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228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 x14ac:dyDescent="0.35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229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 x14ac:dyDescent="0.35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230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 x14ac:dyDescent="0.35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231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 x14ac:dyDescent="0.35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232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 x14ac:dyDescent="0.35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233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 x14ac:dyDescent="0.35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234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 x14ac:dyDescent="0.35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235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 x14ac:dyDescent="0.35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236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 x14ac:dyDescent="0.35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237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 x14ac:dyDescent="0.35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238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 x14ac:dyDescent="0.35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239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 x14ac:dyDescent="0.35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240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 x14ac:dyDescent="0.35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241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 x14ac:dyDescent="0.35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242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 x14ac:dyDescent="0.35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243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 x14ac:dyDescent="0.4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244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 x14ac:dyDescent="0.35">
      <c r="A95" s="129" t="s">
        <v>246</v>
      </c>
      <c r="B95" s="129" t="s">
        <v>51</v>
      </c>
      <c r="C95" s="129" t="s">
        <v>324</v>
      </c>
      <c r="D95" s="236" t="s">
        <v>279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 x14ac:dyDescent="0.35">
      <c r="A96" s="129" t="s">
        <v>246</v>
      </c>
      <c r="B96" s="129" t="s">
        <v>56</v>
      </c>
      <c r="C96" s="129" t="s">
        <v>329</v>
      </c>
      <c r="D96" s="236" t="s">
        <v>279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 x14ac:dyDescent="0.35">
      <c r="A97" s="129" t="s">
        <v>246</v>
      </c>
      <c r="B97" s="129" t="s">
        <v>61</v>
      </c>
      <c r="C97" s="129" t="s">
        <v>334</v>
      </c>
      <c r="D97" s="236" t="s">
        <v>279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 x14ac:dyDescent="0.35">
      <c r="A98" s="129" t="s">
        <v>246</v>
      </c>
      <c r="B98" s="129" t="s">
        <v>66</v>
      </c>
      <c r="C98" s="129" t="s">
        <v>339</v>
      </c>
      <c r="D98" s="236" t="s">
        <v>279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 x14ac:dyDescent="0.35">
      <c r="A99" s="129" t="s">
        <v>246</v>
      </c>
      <c r="B99" s="129" t="s">
        <v>19</v>
      </c>
      <c r="C99" s="129" t="s">
        <v>292</v>
      </c>
      <c r="D99" s="236" t="s">
        <v>279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 x14ac:dyDescent="0.35">
      <c r="A100" s="129" t="s">
        <v>246</v>
      </c>
      <c r="B100" s="129" t="s">
        <v>23</v>
      </c>
      <c r="C100" s="129" t="s">
        <v>296</v>
      </c>
      <c r="D100" s="236" t="s">
        <v>279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 x14ac:dyDescent="0.35">
      <c r="A101" s="129" t="s">
        <v>246</v>
      </c>
      <c r="B101" s="129" t="s">
        <v>27</v>
      </c>
      <c r="C101" s="129" t="s">
        <v>300</v>
      </c>
      <c r="D101" s="236" t="s">
        <v>279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 x14ac:dyDescent="0.35">
      <c r="A102" s="129" t="s">
        <v>246</v>
      </c>
      <c r="B102" s="129" t="s">
        <v>31</v>
      </c>
      <c r="C102" s="129" t="s">
        <v>304</v>
      </c>
      <c r="D102" s="236" t="s">
        <v>279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 x14ac:dyDescent="0.35">
      <c r="A103" s="129" t="s">
        <v>246</v>
      </c>
      <c r="B103" s="129" t="s">
        <v>35</v>
      </c>
      <c r="C103" s="129" t="s">
        <v>308</v>
      </c>
      <c r="D103" s="236" t="s">
        <v>279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 x14ac:dyDescent="0.35">
      <c r="A104" s="129" t="s">
        <v>246</v>
      </c>
      <c r="B104" s="129" t="s">
        <v>39</v>
      </c>
      <c r="C104" s="129" t="s">
        <v>312</v>
      </c>
      <c r="D104" s="236" t="s">
        <v>279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 x14ac:dyDescent="0.35">
      <c r="A105" s="129" t="s">
        <v>246</v>
      </c>
      <c r="B105" s="129" t="s">
        <v>43</v>
      </c>
      <c r="C105" s="129" t="s">
        <v>316</v>
      </c>
      <c r="D105" s="236" t="s">
        <v>279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 x14ac:dyDescent="0.35">
      <c r="A106" s="129" t="s">
        <v>246</v>
      </c>
      <c r="B106" s="129" t="s">
        <v>47</v>
      </c>
      <c r="C106" s="129" t="s">
        <v>320</v>
      </c>
      <c r="D106" s="236" t="s">
        <v>279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 x14ac:dyDescent="0.35">
      <c r="A107" s="129" t="s">
        <v>246</v>
      </c>
      <c r="B107" s="129" t="s">
        <v>52</v>
      </c>
      <c r="C107" s="129" t="s">
        <v>325</v>
      </c>
      <c r="D107" s="236" t="s">
        <v>279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 x14ac:dyDescent="0.35">
      <c r="A108" s="129" t="s">
        <v>246</v>
      </c>
      <c r="B108" s="129" t="s">
        <v>57</v>
      </c>
      <c r="C108" s="129" t="s">
        <v>330</v>
      </c>
      <c r="D108" s="236" t="s">
        <v>279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 x14ac:dyDescent="0.35">
      <c r="A109" s="129" t="s">
        <v>246</v>
      </c>
      <c r="B109" s="129" t="s">
        <v>62</v>
      </c>
      <c r="C109" s="129" t="s">
        <v>335</v>
      </c>
      <c r="D109" s="236" t="s">
        <v>279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 x14ac:dyDescent="0.35">
      <c r="A110" s="129" t="s">
        <v>246</v>
      </c>
      <c r="B110" s="129" t="s">
        <v>67</v>
      </c>
      <c r="C110" s="129" t="s">
        <v>340</v>
      </c>
      <c r="D110" s="236" t="s">
        <v>279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 x14ac:dyDescent="0.35">
      <c r="A111" s="129" t="s">
        <v>246</v>
      </c>
      <c r="B111" s="129" t="s">
        <v>7</v>
      </c>
      <c r="C111" s="129" t="s">
        <v>280</v>
      </c>
      <c r="D111" s="236" t="s">
        <v>279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 x14ac:dyDescent="0.35">
      <c r="A112" s="129" t="s">
        <v>246</v>
      </c>
      <c r="B112" s="129" t="s">
        <v>8</v>
      </c>
      <c r="C112" s="129" t="s">
        <v>281</v>
      </c>
      <c r="D112" s="236" t="s">
        <v>279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 x14ac:dyDescent="0.35">
      <c r="A113" s="129" t="s">
        <v>246</v>
      </c>
      <c r="B113" s="129" t="s">
        <v>9</v>
      </c>
      <c r="C113" s="129" t="s">
        <v>282</v>
      </c>
      <c r="D113" s="236" t="s">
        <v>279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 x14ac:dyDescent="0.35">
      <c r="A114" s="129" t="s">
        <v>246</v>
      </c>
      <c r="B114" s="129" t="s">
        <v>10</v>
      </c>
      <c r="C114" s="129" t="s">
        <v>283</v>
      </c>
      <c r="D114" s="236" t="s">
        <v>279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 x14ac:dyDescent="0.35">
      <c r="A115" s="129" t="s">
        <v>246</v>
      </c>
      <c r="B115" s="129" t="s">
        <v>20</v>
      </c>
      <c r="C115" s="129" t="s">
        <v>293</v>
      </c>
      <c r="D115" s="236" t="s">
        <v>279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 x14ac:dyDescent="0.35">
      <c r="A116" s="129" t="s">
        <v>246</v>
      </c>
      <c r="B116" s="129" t="s">
        <v>24</v>
      </c>
      <c r="C116" s="129" t="s">
        <v>297</v>
      </c>
      <c r="D116" s="236" t="s">
        <v>279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 x14ac:dyDescent="0.35">
      <c r="A117" s="129" t="s">
        <v>246</v>
      </c>
      <c r="B117" s="129" t="s">
        <v>28</v>
      </c>
      <c r="C117" s="129" t="s">
        <v>301</v>
      </c>
      <c r="D117" s="236" t="s">
        <v>279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 x14ac:dyDescent="0.35">
      <c r="A118" s="129" t="s">
        <v>246</v>
      </c>
      <c r="B118" s="129" t="s">
        <v>32</v>
      </c>
      <c r="C118" s="129" t="s">
        <v>305</v>
      </c>
      <c r="D118" s="236" t="s">
        <v>279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 x14ac:dyDescent="0.35">
      <c r="A119" s="129" t="s">
        <v>246</v>
      </c>
      <c r="B119" s="129" t="s">
        <v>11</v>
      </c>
      <c r="C119" s="129" t="s">
        <v>284</v>
      </c>
      <c r="D119" s="236" t="s">
        <v>279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 x14ac:dyDescent="0.35">
      <c r="A120" s="129" t="s">
        <v>246</v>
      </c>
      <c r="B120" s="129" t="s">
        <v>13</v>
      </c>
      <c r="C120" s="129" t="s">
        <v>286</v>
      </c>
      <c r="D120" s="236" t="s">
        <v>279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 x14ac:dyDescent="0.35">
      <c r="A121" s="129" t="s">
        <v>246</v>
      </c>
      <c r="B121" s="129" t="s">
        <v>15</v>
      </c>
      <c r="C121" s="129" t="s">
        <v>288</v>
      </c>
      <c r="D121" s="236" t="s">
        <v>279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 x14ac:dyDescent="0.35">
      <c r="A122" s="129" t="s">
        <v>246</v>
      </c>
      <c r="B122" s="129" t="s">
        <v>17</v>
      </c>
      <c r="C122" s="129" t="s">
        <v>290</v>
      </c>
      <c r="D122" s="236" t="s">
        <v>279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 x14ac:dyDescent="0.35">
      <c r="A123" s="129" t="s">
        <v>246</v>
      </c>
      <c r="B123" s="129" t="s">
        <v>53</v>
      </c>
      <c r="C123" s="129" t="s">
        <v>326</v>
      </c>
      <c r="D123" s="236" t="s">
        <v>279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 x14ac:dyDescent="0.35">
      <c r="A124" s="129" t="s">
        <v>246</v>
      </c>
      <c r="B124" s="129" t="s">
        <v>58</v>
      </c>
      <c r="C124" s="129" t="s">
        <v>331</v>
      </c>
      <c r="D124" s="236" t="s">
        <v>279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 x14ac:dyDescent="0.35">
      <c r="A125" s="129" t="s">
        <v>246</v>
      </c>
      <c r="B125" s="129" t="s">
        <v>63</v>
      </c>
      <c r="C125" s="129" t="s">
        <v>336</v>
      </c>
      <c r="D125" s="236" t="s">
        <v>279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 x14ac:dyDescent="0.35">
      <c r="A126" s="129" t="s">
        <v>246</v>
      </c>
      <c r="B126" s="129" t="s">
        <v>68</v>
      </c>
      <c r="C126" s="129" t="s">
        <v>341</v>
      </c>
      <c r="D126" s="236" t="s">
        <v>279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 x14ac:dyDescent="0.35">
      <c r="A127" s="129" t="s">
        <v>246</v>
      </c>
      <c r="B127" s="129" t="s">
        <v>21</v>
      </c>
      <c r="C127" s="129" t="s">
        <v>294</v>
      </c>
      <c r="D127" s="236" t="s">
        <v>279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 x14ac:dyDescent="0.35">
      <c r="A128" s="129" t="s">
        <v>246</v>
      </c>
      <c r="B128" s="129" t="s">
        <v>25</v>
      </c>
      <c r="C128" s="129" t="s">
        <v>298</v>
      </c>
      <c r="D128" s="236" t="s">
        <v>279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 x14ac:dyDescent="0.35">
      <c r="A129" s="129" t="s">
        <v>246</v>
      </c>
      <c r="B129" s="129" t="s">
        <v>29</v>
      </c>
      <c r="C129" s="129" t="s">
        <v>302</v>
      </c>
      <c r="D129" s="236" t="s">
        <v>279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 x14ac:dyDescent="0.35">
      <c r="A130" s="129" t="s">
        <v>246</v>
      </c>
      <c r="B130" s="129" t="s">
        <v>33</v>
      </c>
      <c r="C130" s="129" t="s">
        <v>306</v>
      </c>
      <c r="D130" s="236" t="s">
        <v>279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 x14ac:dyDescent="0.35">
      <c r="A131" s="129" t="s">
        <v>246</v>
      </c>
      <c r="B131" s="129" t="s">
        <v>22</v>
      </c>
      <c r="C131" s="129" t="s">
        <v>295</v>
      </c>
      <c r="D131" s="236" t="s">
        <v>279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 x14ac:dyDescent="0.35">
      <c r="A132" s="129" t="s">
        <v>246</v>
      </c>
      <c r="B132" s="129" t="s">
        <v>26</v>
      </c>
      <c r="C132" s="129" t="s">
        <v>299</v>
      </c>
      <c r="D132" s="236" t="s">
        <v>279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 x14ac:dyDescent="0.35">
      <c r="A133" s="129" t="s">
        <v>246</v>
      </c>
      <c r="B133" s="129" t="s">
        <v>30</v>
      </c>
      <c r="C133" s="129" t="s">
        <v>303</v>
      </c>
      <c r="D133" s="236" t="s">
        <v>279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 x14ac:dyDescent="0.35">
      <c r="A134" s="129" t="s">
        <v>246</v>
      </c>
      <c r="B134" s="129" t="s">
        <v>34</v>
      </c>
      <c r="C134" s="129" t="s">
        <v>307</v>
      </c>
      <c r="D134" s="236" t="s">
        <v>279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 x14ac:dyDescent="0.35">
      <c r="A135" s="129" t="s">
        <v>246</v>
      </c>
      <c r="B135" s="129" t="s">
        <v>36</v>
      </c>
      <c r="C135" s="129" t="s">
        <v>309</v>
      </c>
      <c r="D135" s="236" t="s">
        <v>279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 x14ac:dyDescent="0.35">
      <c r="A136" s="129" t="s">
        <v>246</v>
      </c>
      <c r="B136" s="129" t="s">
        <v>40</v>
      </c>
      <c r="C136" s="129" t="s">
        <v>313</v>
      </c>
      <c r="D136" s="236" t="s">
        <v>279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 x14ac:dyDescent="0.35">
      <c r="A137" s="129" t="s">
        <v>246</v>
      </c>
      <c r="B137" s="129" t="s">
        <v>44</v>
      </c>
      <c r="C137" s="129" t="s">
        <v>317</v>
      </c>
      <c r="D137" s="236" t="s">
        <v>279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 x14ac:dyDescent="0.35">
      <c r="A138" s="129" t="s">
        <v>246</v>
      </c>
      <c r="B138" s="129" t="s">
        <v>48</v>
      </c>
      <c r="C138" s="129" t="s">
        <v>321</v>
      </c>
      <c r="D138" s="236" t="s">
        <v>279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 x14ac:dyDescent="0.35">
      <c r="A139" s="129" t="s">
        <v>246</v>
      </c>
      <c r="B139" s="129" t="s">
        <v>37</v>
      </c>
      <c r="C139" s="129" t="s">
        <v>310</v>
      </c>
      <c r="D139" s="236" t="s">
        <v>279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 x14ac:dyDescent="0.35">
      <c r="A140" s="129" t="s">
        <v>246</v>
      </c>
      <c r="B140" s="129" t="s">
        <v>41</v>
      </c>
      <c r="C140" s="129" t="s">
        <v>314</v>
      </c>
      <c r="D140" s="236" t="s">
        <v>279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 x14ac:dyDescent="0.35">
      <c r="A141" s="129" t="s">
        <v>246</v>
      </c>
      <c r="B141" s="129" t="s">
        <v>45</v>
      </c>
      <c r="C141" s="129" t="s">
        <v>318</v>
      </c>
      <c r="D141" s="236" t="s">
        <v>279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 x14ac:dyDescent="0.35">
      <c r="A142" s="129" t="s">
        <v>246</v>
      </c>
      <c r="B142" s="129" t="s">
        <v>49</v>
      </c>
      <c r="C142" s="129" t="s">
        <v>322</v>
      </c>
      <c r="D142" s="236" t="s">
        <v>279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 x14ac:dyDescent="0.35">
      <c r="A143" s="129" t="s">
        <v>246</v>
      </c>
      <c r="B143" s="129" t="s">
        <v>12</v>
      </c>
      <c r="C143" s="129" t="s">
        <v>285</v>
      </c>
      <c r="D143" s="236" t="s">
        <v>279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 x14ac:dyDescent="0.35">
      <c r="A144" s="129" t="s">
        <v>246</v>
      </c>
      <c r="B144" s="129" t="s">
        <v>14</v>
      </c>
      <c r="C144" s="129" t="s">
        <v>287</v>
      </c>
      <c r="D144" s="236" t="s">
        <v>279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 x14ac:dyDescent="0.35">
      <c r="A145" s="129" t="s">
        <v>246</v>
      </c>
      <c r="B145" s="129" t="s">
        <v>16</v>
      </c>
      <c r="C145" s="129" t="s">
        <v>289</v>
      </c>
      <c r="D145" s="236" t="s">
        <v>279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 x14ac:dyDescent="0.35">
      <c r="A146" s="129" t="s">
        <v>246</v>
      </c>
      <c r="B146" s="129" t="s">
        <v>18</v>
      </c>
      <c r="C146" s="129" t="s">
        <v>291</v>
      </c>
      <c r="D146" s="236" t="s">
        <v>279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 x14ac:dyDescent="0.35">
      <c r="A147" s="129" t="s">
        <v>246</v>
      </c>
      <c r="B147" s="129" t="s">
        <v>38</v>
      </c>
      <c r="C147" s="129" t="s">
        <v>311</v>
      </c>
      <c r="D147" s="236" t="s">
        <v>279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 x14ac:dyDescent="0.35">
      <c r="A148" s="129" t="s">
        <v>246</v>
      </c>
      <c r="B148" s="129" t="s">
        <v>42</v>
      </c>
      <c r="C148" s="129" t="s">
        <v>315</v>
      </c>
      <c r="D148" s="236" t="s">
        <v>279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 x14ac:dyDescent="0.35">
      <c r="A149" s="129" t="s">
        <v>246</v>
      </c>
      <c r="B149" s="129" t="s">
        <v>46</v>
      </c>
      <c r="C149" s="129" t="s">
        <v>319</v>
      </c>
      <c r="D149" s="236" t="s">
        <v>279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 x14ac:dyDescent="0.35">
      <c r="A150" s="129" t="s">
        <v>246</v>
      </c>
      <c r="B150" s="129" t="s">
        <v>50</v>
      </c>
      <c r="C150" s="129" t="s">
        <v>323</v>
      </c>
      <c r="D150" s="236" t="s">
        <v>279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 x14ac:dyDescent="0.35">
      <c r="A151" s="129" t="s">
        <v>246</v>
      </c>
      <c r="B151" s="129" t="s">
        <v>54</v>
      </c>
      <c r="C151" s="129" t="s">
        <v>327</v>
      </c>
      <c r="D151" s="236" t="s">
        <v>279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 x14ac:dyDescent="0.35">
      <c r="A152" s="129" t="s">
        <v>246</v>
      </c>
      <c r="B152" s="129" t="s">
        <v>59</v>
      </c>
      <c r="C152" s="129" t="s">
        <v>332</v>
      </c>
      <c r="D152" s="236" t="s">
        <v>279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 x14ac:dyDescent="0.35">
      <c r="A153" s="129" t="s">
        <v>246</v>
      </c>
      <c r="B153" s="129" t="s">
        <v>64</v>
      </c>
      <c r="C153" s="129" t="s">
        <v>337</v>
      </c>
      <c r="D153" s="236" t="s">
        <v>279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 x14ac:dyDescent="0.35">
      <c r="A154" s="129" t="s">
        <v>246</v>
      </c>
      <c r="B154" s="129" t="s">
        <v>69</v>
      </c>
      <c r="C154" s="129" t="s">
        <v>342</v>
      </c>
      <c r="D154" s="236" t="s">
        <v>279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 x14ac:dyDescent="0.35">
      <c r="A155" s="129" t="s">
        <v>246</v>
      </c>
      <c r="B155" s="129" t="s">
        <v>55</v>
      </c>
      <c r="C155" s="129" t="s">
        <v>328</v>
      </c>
      <c r="D155" s="236" t="s">
        <v>279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 x14ac:dyDescent="0.35">
      <c r="A156" s="129" t="s">
        <v>246</v>
      </c>
      <c r="B156" s="129" t="s">
        <v>60</v>
      </c>
      <c r="C156" s="129" t="s">
        <v>333</v>
      </c>
      <c r="D156" s="236" t="s">
        <v>279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 x14ac:dyDescent="0.35">
      <c r="A157" s="129" t="s">
        <v>246</v>
      </c>
      <c r="B157" s="129" t="s">
        <v>65</v>
      </c>
      <c r="C157" s="129" t="s">
        <v>338</v>
      </c>
      <c r="D157" s="236" t="s">
        <v>279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 x14ac:dyDescent="0.35">
      <c r="A158" s="129" t="s">
        <v>246</v>
      </c>
      <c r="B158" s="129" t="s">
        <v>70</v>
      </c>
      <c r="C158" s="129" t="s">
        <v>343</v>
      </c>
      <c r="D158" s="236" t="s">
        <v>279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5" zeroHeight="1" x14ac:dyDescent="0.25"/>
  <cols>
    <col min="1" max="1" width="2.81640625" style="76" customWidth="1"/>
    <col min="2" max="2" width="15.1796875" style="76" customWidth="1"/>
    <col min="3" max="3" width="14.7265625" style="76" customWidth="1"/>
    <col min="4" max="4" width="5.81640625" style="76" hidden="1" customWidth="1"/>
    <col min="5" max="5" width="5.1796875" style="76" customWidth="1"/>
    <col min="6" max="12" width="12.7265625" style="76" customWidth="1"/>
    <col min="13" max="30" width="5.7265625" style="76" customWidth="1"/>
    <col min="31" max="31" width="11.453125" style="76" customWidth="1"/>
    <col min="32" max="16384" width="11.453125" style="76" hidden="1"/>
  </cols>
  <sheetData>
    <row r="1" spans="2:30" ht="75" customHeight="1" x14ac:dyDescent="0.25"/>
    <row r="2" spans="2:30" ht="23" x14ac:dyDescent="0.5">
      <c r="B2" s="85" t="s">
        <v>453</v>
      </c>
    </row>
    <row r="3" spans="2:30" ht="15" customHeight="1" x14ac:dyDescent="0.5">
      <c r="B3" s="85"/>
    </row>
    <row r="4" spans="2:30" ht="15" customHeight="1" x14ac:dyDescent="0.35">
      <c r="B4" s="86" t="s">
        <v>452</v>
      </c>
      <c r="C4" s="64" t="str">
        <f>Netzbetreiber!$D$9</f>
        <v>Netzbetreiber Musterstadt GmbH</v>
      </c>
      <c r="D4" s="77"/>
      <c r="G4" s="77"/>
      <c r="I4" s="77"/>
      <c r="J4" s="78"/>
      <c r="M4" s="87" t="s">
        <v>559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4.5" x14ac:dyDescent="0.35">
      <c r="B5" s="88" t="s">
        <v>451</v>
      </c>
      <c r="C5" s="65" t="str">
        <f>Netzbetreiber!D28</f>
        <v>Musternetz 1</v>
      </c>
      <c r="D5" s="37"/>
      <c r="E5" s="77"/>
      <c r="F5" s="77"/>
      <c r="G5" s="77"/>
      <c r="I5" s="77"/>
      <c r="J5" s="77"/>
      <c r="K5" s="77"/>
      <c r="L5" s="77"/>
      <c r="M5" s="89" t="s">
        <v>525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4.5" x14ac:dyDescent="0.35">
      <c r="B6" s="86" t="s">
        <v>449</v>
      </c>
      <c r="C6" s="64">
        <f>Netzbetreiber!$D$11</f>
        <v>123456789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" thickBot="1" x14ac:dyDescent="0.4">
      <c r="B7" s="86" t="s">
        <v>134</v>
      </c>
      <c r="C7" s="59">
        <f>Netzbetreiber!$D$6</f>
        <v>44470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" thickBot="1" x14ac:dyDescent="0.4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1" t="s">
        <v>465</v>
      </c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3"/>
    </row>
    <row r="9" spans="2:30" ht="15" thickBot="1" x14ac:dyDescent="0.4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474</v>
      </c>
      <c r="N9" s="92" t="s">
        <v>379</v>
      </c>
      <c r="O9" s="93" t="s">
        <v>380</v>
      </c>
      <c r="P9" s="93" t="s">
        <v>381</v>
      </c>
      <c r="Q9" s="93" t="s">
        <v>382</v>
      </c>
      <c r="R9" s="93" t="s">
        <v>383</v>
      </c>
      <c r="S9" s="93" t="s">
        <v>384</v>
      </c>
      <c r="T9" s="93" t="s">
        <v>385</v>
      </c>
      <c r="U9" s="93" t="s">
        <v>386</v>
      </c>
      <c r="V9" s="93" t="s">
        <v>387</v>
      </c>
      <c r="W9" s="93" t="s">
        <v>388</v>
      </c>
      <c r="X9" s="93" t="s">
        <v>389</v>
      </c>
      <c r="Y9" s="93" t="s">
        <v>390</v>
      </c>
      <c r="Z9" s="93" t="s">
        <v>391</v>
      </c>
      <c r="AA9" s="93" t="s">
        <v>392</v>
      </c>
      <c r="AB9" s="93" t="s">
        <v>393</v>
      </c>
      <c r="AC9" s="94" t="s">
        <v>394</v>
      </c>
      <c r="AD9" s="94" t="s">
        <v>436</v>
      </c>
    </row>
    <row r="10" spans="2:30" ht="72" customHeight="1" thickBot="1" x14ac:dyDescent="0.3">
      <c r="B10" s="356" t="s">
        <v>603</v>
      </c>
      <c r="C10" s="357"/>
      <c r="D10" s="95">
        <v>2</v>
      </c>
      <c r="E10" s="96" t="str">
        <f>IF(ISERROR(HLOOKUP(E$11,$M$9:$AD$35,$D10,0)),"",HLOOKUP(E$11,$M$9:$AD$35,$D10,0))</f>
        <v/>
      </c>
      <c r="F10" s="354" t="s">
        <v>405</v>
      </c>
      <c r="G10" s="354"/>
      <c r="H10" s="354"/>
      <c r="I10" s="354"/>
      <c r="J10" s="354"/>
      <c r="K10" s="354"/>
      <c r="L10" s="355"/>
      <c r="M10" s="97" t="s">
        <v>475</v>
      </c>
      <c r="N10" s="98" t="s">
        <v>476</v>
      </c>
      <c r="O10" s="99" t="s">
        <v>477</v>
      </c>
      <c r="P10" s="100" t="s">
        <v>478</v>
      </c>
      <c r="Q10" s="100" t="s">
        <v>479</v>
      </c>
      <c r="R10" s="100" t="s">
        <v>480</v>
      </c>
      <c r="S10" s="100" t="s">
        <v>481</v>
      </c>
      <c r="T10" s="100" t="s">
        <v>482</v>
      </c>
      <c r="U10" s="100" t="s">
        <v>483</v>
      </c>
      <c r="V10" s="100" t="s">
        <v>484</v>
      </c>
      <c r="W10" s="100" t="s">
        <v>485</v>
      </c>
      <c r="X10" s="100" t="s">
        <v>486</v>
      </c>
      <c r="Y10" s="100" t="s">
        <v>487</v>
      </c>
      <c r="Z10" s="100" t="s">
        <v>488</v>
      </c>
      <c r="AA10" s="100" t="s">
        <v>489</v>
      </c>
      <c r="AB10" s="100" t="s">
        <v>490</v>
      </c>
      <c r="AC10" s="101" t="s">
        <v>491</v>
      </c>
      <c r="AD10" s="102" t="s">
        <v>437</v>
      </c>
    </row>
    <row r="11" spans="2:30" ht="15" thickBot="1" x14ac:dyDescent="0.4">
      <c r="B11" s="103" t="s">
        <v>428</v>
      </c>
      <c r="C11" s="104"/>
      <c r="D11" s="105">
        <v>3</v>
      </c>
      <c r="E11" s="106"/>
      <c r="F11" s="107" t="s">
        <v>396</v>
      </c>
      <c r="G11" s="108" t="s">
        <v>397</v>
      </c>
      <c r="H11" s="108" t="s">
        <v>398</v>
      </c>
      <c r="I11" s="108" t="s">
        <v>399</v>
      </c>
      <c r="J11" s="108" t="s">
        <v>400</v>
      </c>
      <c r="K11" s="108" t="s">
        <v>401</v>
      </c>
      <c r="L11" s="109" t="s">
        <v>402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4.5" x14ac:dyDescent="0.35">
      <c r="B12" s="110" t="s">
        <v>406</v>
      </c>
      <c r="C12" s="111"/>
      <c r="D12" s="112">
        <v>4</v>
      </c>
      <c r="E12" s="315">
        <f>MIN(SUMPRODUCT($M$11:$AD$11,M12:AD12),1)</f>
        <v>1</v>
      </c>
      <c r="F12" s="312" t="s">
        <v>402</v>
      </c>
      <c r="G12" s="79" t="s">
        <v>402</v>
      </c>
      <c r="H12" s="79" t="s">
        <v>402</v>
      </c>
      <c r="I12" s="79" t="s">
        <v>402</v>
      </c>
      <c r="J12" s="79" t="s">
        <v>402</v>
      </c>
      <c r="K12" s="79" t="s">
        <v>402</v>
      </c>
      <c r="L12" s="80" t="s">
        <v>402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4.5" x14ac:dyDescent="0.35">
      <c r="B13" s="117" t="s">
        <v>407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402</v>
      </c>
      <c r="G13" s="81" t="s">
        <v>402</v>
      </c>
      <c r="H13" s="81" t="s">
        <v>402</v>
      </c>
      <c r="I13" s="81" t="s">
        <v>402</v>
      </c>
      <c r="J13" s="81" t="s">
        <v>402</v>
      </c>
      <c r="K13" s="81" t="s">
        <v>402</v>
      </c>
      <c r="L13" s="82" t="s">
        <v>402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4.5" x14ac:dyDescent="0.35">
      <c r="B14" s="117" t="s">
        <v>408</v>
      </c>
      <c r="C14" s="118"/>
      <c r="D14" s="112">
        <v>6</v>
      </c>
      <c r="E14" s="316">
        <f t="shared" si="0"/>
        <v>0</v>
      </c>
      <c r="F14" s="313" t="s">
        <v>402</v>
      </c>
      <c r="G14" s="81" t="s">
        <v>409</v>
      </c>
      <c r="H14" s="81" t="s">
        <v>409</v>
      </c>
      <c r="I14" s="81" t="s">
        <v>409</v>
      </c>
      <c r="J14" s="81" t="s">
        <v>409</v>
      </c>
      <c r="K14" s="81" t="s">
        <v>409</v>
      </c>
      <c r="L14" s="82" t="s">
        <v>409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4.5" x14ac:dyDescent="0.35">
      <c r="B15" s="117" t="s">
        <v>410</v>
      </c>
      <c r="C15" s="118"/>
      <c r="D15" s="112">
        <v>7</v>
      </c>
      <c r="E15" s="316">
        <f t="shared" si="0"/>
        <v>0</v>
      </c>
      <c r="F15" s="313" t="s">
        <v>409</v>
      </c>
      <c r="G15" s="81" t="s">
        <v>401</v>
      </c>
      <c r="H15" s="81" t="s">
        <v>409</v>
      </c>
      <c r="I15" s="81" t="s">
        <v>409</v>
      </c>
      <c r="J15" s="81" t="s">
        <v>409</v>
      </c>
      <c r="K15" s="81" t="s">
        <v>409</v>
      </c>
      <c r="L15" s="82" t="s">
        <v>409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4.5" x14ac:dyDescent="0.35">
      <c r="B16" s="122" t="s">
        <v>422</v>
      </c>
      <c r="C16" s="118"/>
      <c r="D16" s="112">
        <v>8</v>
      </c>
      <c r="E16" s="316">
        <f t="shared" si="0"/>
        <v>1</v>
      </c>
      <c r="F16" s="313" t="s">
        <v>409</v>
      </c>
      <c r="G16" s="81" t="s">
        <v>409</v>
      </c>
      <c r="H16" s="81" t="s">
        <v>409</v>
      </c>
      <c r="I16" s="81" t="s">
        <v>409</v>
      </c>
      <c r="J16" s="81" t="s">
        <v>402</v>
      </c>
      <c r="K16" s="81" t="s">
        <v>409</v>
      </c>
      <c r="L16" s="82" t="s">
        <v>409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4.5" x14ac:dyDescent="0.35">
      <c r="B17" s="122" t="s">
        <v>423</v>
      </c>
      <c r="C17" s="118"/>
      <c r="D17" s="112">
        <v>9</v>
      </c>
      <c r="E17" s="316">
        <f t="shared" si="0"/>
        <v>1</v>
      </c>
      <c r="F17" s="313" t="s">
        <v>409</v>
      </c>
      <c r="G17" s="81" t="s">
        <v>409</v>
      </c>
      <c r="H17" s="81" t="s">
        <v>409</v>
      </c>
      <c r="I17" s="81" t="s">
        <v>409</v>
      </c>
      <c r="J17" s="81" t="s">
        <v>409</v>
      </c>
      <c r="K17" s="81" t="s">
        <v>409</v>
      </c>
      <c r="L17" s="82" t="s">
        <v>402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4.5" x14ac:dyDescent="0.35">
      <c r="B18" s="122" t="s">
        <v>424</v>
      </c>
      <c r="C18" s="118"/>
      <c r="D18" s="112">
        <v>10</v>
      </c>
      <c r="E18" s="316">
        <f t="shared" si="0"/>
        <v>1</v>
      </c>
      <c r="F18" s="313" t="s">
        <v>402</v>
      </c>
      <c r="G18" s="81" t="s">
        <v>409</v>
      </c>
      <c r="H18" s="81" t="s">
        <v>409</v>
      </c>
      <c r="I18" s="81" t="s">
        <v>409</v>
      </c>
      <c r="J18" s="81" t="s">
        <v>409</v>
      </c>
      <c r="K18" s="81" t="s">
        <v>409</v>
      </c>
      <c r="L18" s="82" t="s">
        <v>409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4.5" x14ac:dyDescent="0.35">
      <c r="B19" s="340" t="s">
        <v>674</v>
      </c>
      <c r="C19" s="341"/>
      <c r="D19" s="112"/>
      <c r="E19" s="316">
        <v>1</v>
      </c>
      <c r="F19" s="313" t="s">
        <v>402</v>
      </c>
      <c r="G19" s="81" t="s">
        <v>402</v>
      </c>
      <c r="H19" s="81" t="s">
        <v>402</v>
      </c>
      <c r="I19" s="81" t="s">
        <v>402</v>
      </c>
      <c r="J19" s="81" t="s">
        <v>402</v>
      </c>
      <c r="K19" s="81" t="s">
        <v>402</v>
      </c>
      <c r="L19" s="82" t="s">
        <v>402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4.5" x14ac:dyDescent="0.35">
      <c r="B20" s="122" t="s">
        <v>411</v>
      </c>
      <c r="C20" s="118"/>
      <c r="D20" s="112">
        <v>11</v>
      </c>
      <c r="E20" s="316">
        <f t="shared" si="0"/>
        <v>1</v>
      </c>
      <c r="F20" s="313" t="s">
        <v>402</v>
      </c>
      <c r="G20" s="81" t="s">
        <v>402</v>
      </c>
      <c r="H20" s="81" t="s">
        <v>402</v>
      </c>
      <c r="I20" s="81" t="s">
        <v>402</v>
      </c>
      <c r="J20" s="81" t="s">
        <v>402</v>
      </c>
      <c r="K20" s="81" t="s">
        <v>402</v>
      </c>
      <c r="L20" s="82" t="s">
        <v>402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4.5" x14ac:dyDescent="0.35">
      <c r="B21" s="122" t="s">
        <v>672</v>
      </c>
      <c r="C21" s="118"/>
      <c r="D21" s="112">
        <v>12</v>
      </c>
      <c r="E21" s="316">
        <f t="shared" si="0"/>
        <v>1</v>
      </c>
      <c r="F21" s="313" t="s">
        <v>409</v>
      </c>
      <c r="G21" s="81" t="s">
        <v>409</v>
      </c>
      <c r="H21" s="81" t="s">
        <v>409</v>
      </c>
      <c r="I21" s="81" t="s">
        <v>402</v>
      </c>
      <c r="J21" s="81" t="s">
        <v>409</v>
      </c>
      <c r="K21" s="81" t="s">
        <v>409</v>
      </c>
      <c r="L21" s="82" t="s">
        <v>409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4.5" x14ac:dyDescent="0.35">
      <c r="B22" s="122" t="s">
        <v>425</v>
      </c>
      <c r="C22" s="118"/>
      <c r="D22" s="112">
        <v>13</v>
      </c>
      <c r="E22" s="316">
        <f t="shared" si="0"/>
        <v>1</v>
      </c>
      <c r="F22" s="313" t="s">
        <v>409</v>
      </c>
      <c r="G22" s="81" t="s">
        <v>409</v>
      </c>
      <c r="H22" s="81" t="s">
        <v>409</v>
      </c>
      <c r="I22" s="81" t="s">
        <v>409</v>
      </c>
      <c r="J22" s="81" t="s">
        <v>409</v>
      </c>
      <c r="K22" s="81" t="s">
        <v>409</v>
      </c>
      <c r="L22" s="82" t="s">
        <v>402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4.5" x14ac:dyDescent="0.35">
      <c r="B23" s="122" t="s">
        <v>426</v>
      </c>
      <c r="C23" s="118"/>
      <c r="D23" s="112">
        <v>14</v>
      </c>
      <c r="E23" s="316">
        <f t="shared" si="0"/>
        <v>1</v>
      </c>
      <c r="F23" s="313" t="s">
        <v>402</v>
      </c>
      <c r="G23" s="81" t="s">
        <v>409</v>
      </c>
      <c r="H23" s="81" t="s">
        <v>409</v>
      </c>
      <c r="I23" s="81" t="s">
        <v>409</v>
      </c>
      <c r="J23" s="81" t="s">
        <v>409</v>
      </c>
      <c r="K23" s="81" t="s">
        <v>409</v>
      </c>
      <c r="L23" s="82" t="s">
        <v>409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4.5" x14ac:dyDescent="0.35">
      <c r="B24" s="117" t="s">
        <v>427</v>
      </c>
      <c r="C24" s="118"/>
      <c r="D24" s="112">
        <v>15</v>
      </c>
      <c r="E24" s="316">
        <f t="shared" si="0"/>
        <v>0</v>
      </c>
      <c r="F24" s="313" t="s">
        <v>409</v>
      </c>
      <c r="G24" s="81" t="s">
        <v>409</v>
      </c>
      <c r="H24" s="81" t="s">
        <v>409</v>
      </c>
      <c r="I24" s="81" t="s">
        <v>402</v>
      </c>
      <c r="J24" s="81" t="s">
        <v>409</v>
      </c>
      <c r="K24" s="81" t="s">
        <v>409</v>
      </c>
      <c r="L24" s="82" t="s">
        <v>409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4.5" x14ac:dyDescent="0.35">
      <c r="B25" s="117" t="s">
        <v>412</v>
      </c>
      <c r="C25" s="118"/>
      <c r="D25" s="112">
        <v>16</v>
      </c>
      <c r="E25" s="316">
        <f t="shared" si="0"/>
        <v>0</v>
      </c>
      <c r="F25" s="313" t="s">
        <v>402</v>
      </c>
      <c r="G25" s="81" t="s">
        <v>402</v>
      </c>
      <c r="H25" s="81" t="s">
        <v>402</v>
      </c>
      <c r="I25" s="81" t="s">
        <v>402</v>
      </c>
      <c r="J25" s="81" t="s">
        <v>402</v>
      </c>
      <c r="K25" s="81" t="s">
        <v>402</v>
      </c>
      <c r="L25" s="82" t="s">
        <v>402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4.5" x14ac:dyDescent="0.35">
      <c r="B26" s="117" t="s">
        <v>413</v>
      </c>
      <c r="C26" s="118"/>
      <c r="D26" s="112">
        <v>17</v>
      </c>
      <c r="E26" s="316">
        <f t="shared" si="0"/>
        <v>0</v>
      </c>
      <c r="F26" s="313" t="s">
        <v>402</v>
      </c>
      <c r="G26" s="81" t="s">
        <v>402</v>
      </c>
      <c r="H26" s="81" t="s">
        <v>402</v>
      </c>
      <c r="I26" s="81" t="s">
        <v>402</v>
      </c>
      <c r="J26" s="81" t="s">
        <v>402</v>
      </c>
      <c r="K26" s="81" t="s">
        <v>402</v>
      </c>
      <c r="L26" s="82" t="s">
        <v>402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4.5" x14ac:dyDescent="0.35">
      <c r="B27" s="340" t="s">
        <v>673</v>
      </c>
      <c r="C27" s="341"/>
      <c r="D27" s="112"/>
      <c r="E27" s="316">
        <v>1</v>
      </c>
      <c r="F27" s="313" t="s">
        <v>402</v>
      </c>
      <c r="G27" s="81" t="s">
        <v>402</v>
      </c>
      <c r="H27" s="81" t="s">
        <v>402</v>
      </c>
      <c r="I27" s="81" t="s">
        <v>402</v>
      </c>
      <c r="J27" s="81" t="s">
        <v>402</v>
      </c>
      <c r="K27" s="81" t="s">
        <v>402</v>
      </c>
      <c r="L27" s="82" t="s">
        <v>402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4.5" x14ac:dyDescent="0.35">
      <c r="B28" s="122" t="s">
        <v>414</v>
      </c>
      <c r="C28" s="118"/>
      <c r="D28" s="112">
        <v>18</v>
      </c>
      <c r="E28" s="316">
        <f t="shared" si="0"/>
        <v>1</v>
      </c>
      <c r="F28" s="313" t="s">
        <v>402</v>
      </c>
      <c r="G28" s="81" t="s">
        <v>402</v>
      </c>
      <c r="H28" s="81" t="s">
        <v>402</v>
      </c>
      <c r="I28" s="81" t="s">
        <v>402</v>
      </c>
      <c r="J28" s="81" t="s">
        <v>402</v>
      </c>
      <c r="K28" s="81" t="s">
        <v>402</v>
      </c>
      <c r="L28" s="82" t="s">
        <v>402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4.5" x14ac:dyDescent="0.35">
      <c r="B29" s="340" t="s">
        <v>415</v>
      </c>
      <c r="C29" s="341"/>
      <c r="D29" s="342">
        <v>19</v>
      </c>
      <c r="E29" s="343">
        <v>1</v>
      </c>
      <c r="F29" s="313" t="s">
        <v>402</v>
      </c>
      <c r="G29" s="313" t="s">
        <v>402</v>
      </c>
      <c r="H29" s="313" t="s">
        <v>402</v>
      </c>
      <c r="I29" s="313" t="s">
        <v>402</v>
      </c>
      <c r="J29" s="313" t="s">
        <v>402</v>
      </c>
      <c r="K29" s="313" t="s">
        <v>402</v>
      </c>
      <c r="L29" s="313" t="s">
        <v>402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4.5" x14ac:dyDescent="0.35">
      <c r="B30" s="117" t="s">
        <v>416</v>
      </c>
      <c r="C30" s="118"/>
      <c r="D30" s="112">
        <v>20</v>
      </c>
      <c r="E30" s="316">
        <f t="shared" si="0"/>
        <v>0</v>
      </c>
      <c r="F30" s="313" t="s">
        <v>402</v>
      </c>
      <c r="G30" s="81" t="s">
        <v>402</v>
      </c>
      <c r="H30" s="81" t="s">
        <v>402</v>
      </c>
      <c r="I30" s="81" t="s">
        <v>402</v>
      </c>
      <c r="J30" s="81" t="s">
        <v>402</v>
      </c>
      <c r="K30" s="81" t="s">
        <v>402</v>
      </c>
      <c r="L30" s="82" t="s">
        <v>402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4.5" x14ac:dyDescent="0.35">
      <c r="B31" s="117" t="s">
        <v>417</v>
      </c>
      <c r="C31" s="118"/>
      <c r="D31" s="112">
        <v>21</v>
      </c>
      <c r="E31" s="316">
        <f t="shared" si="0"/>
        <v>0</v>
      </c>
      <c r="F31" s="313" t="s">
        <v>409</v>
      </c>
      <c r="G31" s="81" t="s">
        <v>409</v>
      </c>
      <c r="H31" s="81" t="s">
        <v>402</v>
      </c>
      <c r="I31" s="81" t="s">
        <v>409</v>
      </c>
      <c r="J31" s="81" t="s">
        <v>409</v>
      </c>
      <c r="K31" s="81" t="s">
        <v>409</v>
      </c>
      <c r="L31" s="82" t="s">
        <v>409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4.5" x14ac:dyDescent="0.35">
      <c r="B32" s="117" t="s">
        <v>418</v>
      </c>
      <c r="C32" s="118"/>
      <c r="D32" s="112">
        <v>22</v>
      </c>
      <c r="E32" s="316">
        <f t="shared" si="0"/>
        <v>0</v>
      </c>
      <c r="F32" s="313" t="s">
        <v>401</v>
      </c>
      <c r="G32" s="81" t="s">
        <v>401</v>
      </c>
      <c r="H32" s="81" t="s">
        <v>401</v>
      </c>
      <c r="I32" s="81" t="s">
        <v>401</v>
      </c>
      <c r="J32" s="81" t="s">
        <v>401</v>
      </c>
      <c r="K32" s="81" t="s">
        <v>401</v>
      </c>
      <c r="L32" s="82" t="s">
        <v>402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4.5" x14ac:dyDescent="0.35">
      <c r="B33" s="122" t="s">
        <v>419</v>
      </c>
      <c r="C33" s="118"/>
      <c r="D33" s="112">
        <v>23</v>
      </c>
      <c r="E33" s="316">
        <f t="shared" si="0"/>
        <v>1</v>
      </c>
      <c r="F33" s="313" t="s">
        <v>402</v>
      </c>
      <c r="G33" s="81" t="s">
        <v>402</v>
      </c>
      <c r="H33" s="81" t="s">
        <v>402</v>
      </c>
      <c r="I33" s="81" t="s">
        <v>402</v>
      </c>
      <c r="J33" s="81" t="s">
        <v>402</v>
      </c>
      <c r="K33" s="81" t="s">
        <v>402</v>
      </c>
      <c r="L33" s="82" t="s">
        <v>402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4.5" x14ac:dyDescent="0.35">
      <c r="B34" s="122" t="s">
        <v>420</v>
      </c>
      <c r="C34" s="118"/>
      <c r="D34" s="112">
        <v>24</v>
      </c>
      <c r="E34" s="316">
        <f t="shared" si="0"/>
        <v>1</v>
      </c>
      <c r="F34" s="313" t="s">
        <v>402</v>
      </c>
      <c r="G34" s="81" t="s">
        <v>402</v>
      </c>
      <c r="H34" s="81" t="s">
        <v>402</v>
      </c>
      <c r="I34" s="81" t="s">
        <v>402</v>
      </c>
      <c r="J34" s="81" t="s">
        <v>402</v>
      </c>
      <c r="K34" s="81" t="s">
        <v>402</v>
      </c>
      <c r="L34" s="82" t="s">
        <v>402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" thickBot="1" x14ac:dyDescent="0.4">
      <c r="B35" s="123" t="s">
        <v>421</v>
      </c>
      <c r="C35" s="124"/>
      <c r="D35" s="125">
        <v>25</v>
      </c>
      <c r="E35" s="317">
        <f t="shared" si="0"/>
        <v>0</v>
      </c>
      <c r="F35" s="314" t="s">
        <v>401</v>
      </c>
      <c r="G35" s="83" t="s">
        <v>401</v>
      </c>
      <c r="H35" s="83" t="s">
        <v>401</v>
      </c>
      <c r="I35" s="83" t="s">
        <v>401</v>
      </c>
      <c r="J35" s="83" t="s">
        <v>401</v>
      </c>
      <c r="K35" s="83" t="s">
        <v>401</v>
      </c>
      <c r="L35" s="84" t="s">
        <v>402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 x14ac:dyDescent="0.25"/>
    <row r="37" spans="2:30" x14ac:dyDescent="0.25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53125" defaultRowHeight="14.5" x14ac:dyDescent="0.35"/>
  <cols>
    <col min="1" max="1" width="9.7265625" style="258" customWidth="1"/>
    <col min="2" max="2" width="7" style="259" customWidth="1"/>
    <col min="3" max="3" width="27.7265625" style="238" customWidth="1"/>
    <col min="4" max="10" width="8.81640625" style="238" customWidth="1"/>
    <col min="11" max="14" width="11.453125" style="238" customWidth="1"/>
    <col min="15" max="15" width="12.26953125" style="129" customWidth="1"/>
    <col min="16" max="16" width="16.54296875" style="238" customWidth="1"/>
    <col min="17" max="16384" width="11.453125" style="238"/>
  </cols>
  <sheetData>
    <row r="1" spans="1:16" s="237" customFormat="1" x14ac:dyDescent="0.35">
      <c r="A1" s="132" t="s">
        <v>462</v>
      </c>
      <c r="B1" s="129"/>
      <c r="D1" s="218" t="s">
        <v>565</v>
      </c>
    </row>
    <row r="2" spans="1:16" x14ac:dyDescent="0.35">
      <c r="A2" s="238"/>
      <c r="B2" s="237" t="s">
        <v>463</v>
      </c>
    </row>
    <row r="3" spans="1:16" ht="20.149999999999999" customHeight="1" x14ac:dyDescent="0.35">
      <c r="A3" s="358" t="s">
        <v>250</v>
      </c>
      <c r="B3" s="239" t="s">
        <v>87</v>
      </c>
      <c r="C3" s="240"/>
      <c r="D3" s="360" t="s">
        <v>464</v>
      </c>
      <c r="E3" s="361"/>
      <c r="F3" s="361"/>
      <c r="G3" s="361"/>
      <c r="H3" s="361"/>
      <c r="I3" s="361"/>
      <c r="J3" s="362"/>
      <c r="K3" s="241"/>
      <c r="L3" s="241"/>
      <c r="M3" s="241"/>
      <c r="N3" s="241"/>
      <c r="O3" s="242"/>
      <c r="P3" s="241"/>
    </row>
    <row r="4" spans="1:16" ht="20.149999999999999" customHeight="1" x14ac:dyDescent="0.35">
      <c r="A4" s="359"/>
      <c r="B4" s="243"/>
      <c r="C4" s="244"/>
      <c r="D4" s="245" t="s">
        <v>88</v>
      </c>
      <c r="E4" s="245" t="s">
        <v>89</v>
      </c>
      <c r="F4" s="245" t="s">
        <v>90</v>
      </c>
      <c r="G4" s="245" t="s">
        <v>91</v>
      </c>
      <c r="H4" s="245" t="s">
        <v>92</v>
      </c>
      <c r="I4" s="245" t="s">
        <v>93</v>
      </c>
      <c r="J4" s="245" t="s">
        <v>94</v>
      </c>
      <c r="K4" s="241"/>
      <c r="L4" s="241"/>
      <c r="M4" s="241"/>
      <c r="N4" s="241"/>
      <c r="O4" s="242"/>
      <c r="P4" s="241"/>
    </row>
    <row r="5" spans="1:16" ht="31.5" customHeight="1" x14ac:dyDescent="0.35">
      <c r="A5" s="246"/>
      <c r="B5" s="247" t="s">
        <v>95</v>
      </c>
      <c r="C5" s="244"/>
      <c r="D5" s="245" t="s">
        <v>96</v>
      </c>
      <c r="E5" s="245" t="s">
        <v>97</v>
      </c>
      <c r="F5" s="245" t="s">
        <v>98</v>
      </c>
      <c r="G5" s="245" t="s">
        <v>99</v>
      </c>
      <c r="H5" s="245" t="s">
        <v>100</v>
      </c>
      <c r="I5" s="245" t="s">
        <v>101</v>
      </c>
      <c r="J5" s="245" t="s">
        <v>102</v>
      </c>
      <c r="K5" s="245" t="s">
        <v>103</v>
      </c>
      <c r="L5" s="246" t="s">
        <v>104</v>
      </c>
      <c r="M5" s="246" t="s">
        <v>105</v>
      </c>
      <c r="N5" s="248" t="s">
        <v>148</v>
      </c>
      <c r="O5" s="248" t="s">
        <v>261</v>
      </c>
      <c r="P5" s="249" t="s">
        <v>260</v>
      </c>
    </row>
    <row r="6" spans="1:16" ht="20.149999999999999" customHeight="1" x14ac:dyDescent="0.35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 x14ac:dyDescent="0.35">
      <c r="A7" s="252">
        <v>1</v>
      </c>
      <c r="B7" s="245" t="s">
        <v>106</v>
      </c>
      <c r="C7" s="253" t="s">
        <v>107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103</v>
      </c>
      <c r="M7" s="255">
        <f t="shared" ref="M7:M21" si="0">MAX(D7:J7)</f>
        <v>1</v>
      </c>
      <c r="N7" s="256" t="s">
        <v>375</v>
      </c>
      <c r="O7" s="251"/>
      <c r="P7" s="245"/>
    </row>
    <row r="8" spans="1:16" ht="21" customHeight="1" x14ac:dyDescent="0.35">
      <c r="A8" s="252">
        <v>2</v>
      </c>
      <c r="B8" s="245" t="s">
        <v>108</v>
      </c>
      <c r="C8" s="253" t="s">
        <v>109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103</v>
      </c>
      <c r="M8" s="255">
        <f t="shared" si="0"/>
        <v>1</v>
      </c>
      <c r="N8" s="256" t="s">
        <v>375</v>
      </c>
      <c r="O8" s="251"/>
      <c r="P8" s="245"/>
    </row>
    <row r="9" spans="1:16" ht="21" customHeight="1" x14ac:dyDescent="0.35">
      <c r="A9" s="252">
        <v>3</v>
      </c>
      <c r="B9" s="245" t="s">
        <v>248</v>
      </c>
      <c r="C9" s="257" t="s">
        <v>6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103</v>
      </c>
      <c r="M9" s="255">
        <f t="shared" ref="M9" si="1">MAX(D9:J9)</f>
        <v>1</v>
      </c>
      <c r="N9" s="256" t="s">
        <v>6</v>
      </c>
      <c r="O9" s="251"/>
      <c r="P9" s="245"/>
    </row>
    <row r="10" spans="1:16" x14ac:dyDescent="0.35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7.5" x14ac:dyDescent="0.35">
      <c r="A11" s="252">
        <v>4</v>
      </c>
      <c r="B11" s="245" t="s">
        <v>110</v>
      </c>
      <c r="C11" s="261" t="s">
        <v>111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97</v>
      </c>
      <c r="M11" s="255">
        <f t="shared" si="0"/>
        <v>1.0522626697461936</v>
      </c>
      <c r="N11" s="256" t="s">
        <v>264</v>
      </c>
      <c r="O11" s="251" t="s">
        <v>262</v>
      </c>
      <c r="P11" s="245"/>
    </row>
    <row r="12" spans="1:16" x14ac:dyDescent="0.35">
      <c r="A12" s="252">
        <v>5</v>
      </c>
      <c r="B12" s="245" t="s">
        <v>112</v>
      </c>
      <c r="C12" s="261" t="s">
        <v>113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96</v>
      </c>
      <c r="M12" s="255">
        <f t="shared" si="0"/>
        <v>1.0358469949391176</v>
      </c>
      <c r="N12" s="256" t="s">
        <v>264</v>
      </c>
      <c r="O12" s="251" t="s">
        <v>262</v>
      </c>
      <c r="P12" s="245"/>
    </row>
    <row r="13" spans="1:16" x14ac:dyDescent="0.35">
      <c r="A13" s="252">
        <v>6</v>
      </c>
      <c r="B13" s="245" t="s">
        <v>114</v>
      </c>
      <c r="C13" s="261" t="s">
        <v>115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96</v>
      </c>
      <c r="M13" s="255">
        <f t="shared" si="0"/>
        <v>1.069856584592316</v>
      </c>
      <c r="N13" s="256" t="s">
        <v>264</v>
      </c>
      <c r="O13" s="251" t="s">
        <v>262</v>
      </c>
      <c r="P13" s="245"/>
    </row>
    <row r="14" spans="1:16" ht="21" customHeight="1" x14ac:dyDescent="0.35">
      <c r="A14" s="252">
        <v>7</v>
      </c>
      <c r="B14" s="245" t="s">
        <v>116</v>
      </c>
      <c r="C14" s="261" t="s">
        <v>117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96</v>
      </c>
      <c r="M14" s="255">
        <f t="shared" si="0"/>
        <v>1.1052461688999999</v>
      </c>
      <c r="N14" s="256" t="s">
        <v>264</v>
      </c>
      <c r="O14" s="251" t="s">
        <v>262</v>
      </c>
      <c r="P14" s="245"/>
    </row>
    <row r="15" spans="1:16" ht="21" customHeight="1" x14ac:dyDescent="0.35">
      <c r="A15" s="252">
        <v>8</v>
      </c>
      <c r="B15" s="245" t="s">
        <v>118</v>
      </c>
      <c r="C15" s="261" t="s">
        <v>119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97</v>
      </c>
      <c r="M15" s="255">
        <f t="shared" si="0"/>
        <v>1.0389446761000001</v>
      </c>
      <c r="N15" s="256" t="s">
        <v>264</v>
      </c>
      <c r="O15" s="251" t="s">
        <v>262</v>
      </c>
      <c r="P15" s="245"/>
    </row>
    <row r="16" spans="1:16" ht="21" customHeight="1" x14ac:dyDescent="0.35">
      <c r="A16" s="252">
        <v>9</v>
      </c>
      <c r="B16" s="245" t="s">
        <v>124</v>
      </c>
      <c r="C16" s="261" t="s">
        <v>125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98</v>
      </c>
      <c r="M16" s="255">
        <f>MAX(D16:J16)</f>
        <v>1.2706602107</v>
      </c>
      <c r="N16" s="256" t="s">
        <v>264</v>
      </c>
      <c r="O16" s="251" t="s">
        <v>262</v>
      </c>
      <c r="P16" s="245"/>
    </row>
    <row r="17" spans="1:16" ht="21" customHeight="1" x14ac:dyDescent="0.35">
      <c r="A17" s="252">
        <v>10</v>
      </c>
      <c r="B17" s="245" t="s">
        <v>120</v>
      </c>
      <c r="C17" s="262" t="s">
        <v>121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101</v>
      </c>
      <c r="M17" s="255">
        <f t="shared" si="0"/>
        <v>1.0355882019</v>
      </c>
      <c r="N17" s="256" t="s">
        <v>264</v>
      </c>
      <c r="O17" s="251" t="s">
        <v>263</v>
      </c>
      <c r="P17" s="245" t="s">
        <v>118</v>
      </c>
    </row>
    <row r="18" spans="1:16" ht="21" customHeight="1" x14ac:dyDescent="0.35">
      <c r="A18" s="252">
        <v>11</v>
      </c>
      <c r="B18" s="245" t="s">
        <v>122</v>
      </c>
      <c r="C18" s="262" t="s">
        <v>123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100</v>
      </c>
      <c r="M18" s="255">
        <f t="shared" si="0"/>
        <v>1.1401797148999999</v>
      </c>
      <c r="N18" s="256" t="s">
        <v>264</v>
      </c>
      <c r="O18" s="251" t="s">
        <v>263</v>
      </c>
      <c r="P18" s="245" t="s">
        <v>124</v>
      </c>
    </row>
    <row r="19" spans="1:16" ht="21" customHeight="1" x14ac:dyDescent="0.35">
      <c r="A19" s="252">
        <v>12</v>
      </c>
      <c r="B19" s="245" t="s">
        <v>126</v>
      </c>
      <c r="C19" s="262" t="s">
        <v>127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99</v>
      </c>
      <c r="M19" s="255">
        <f t="shared" si="0"/>
        <v>1.0552346931000001</v>
      </c>
      <c r="N19" s="256" t="s">
        <v>264</v>
      </c>
      <c r="O19" s="251" t="s">
        <v>263</v>
      </c>
      <c r="P19" s="245" t="s">
        <v>110</v>
      </c>
    </row>
    <row r="20" spans="1:16" ht="21" customHeight="1" x14ac:dyDescent="0.35">
      <c r="A20" s="252">
        <v>13</v>
      </c>
      <c r="B20" s="245" t="s">
        <v>128</v>
      </c>
      <c r="C20" s="262" t="s">
        <v>129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96</v>
      </c>
      <c r="M20" s="255">
        <f t="shared" si="0"/>
        <v>1.0865859003</v>
      </c>
      <c r="N20" s="256" t="s">
        <v>264</v>
      </c>
      <c r="O20" s="251" t="s">
        <v>263</v>
      </c>
      <c r="P20" s="245" t="s">
        <v>112</v>
      </c>
    </row>
    <row r="21" spans="1:16" ht="24.75" customHeight="1" x14ac:dyDescent="0.35">
      <c r="A21" s="252">
        <v>14</v>
      </c>
      <c r="B21" s="245" t="s">
        <v>130</v>
      </c>
      <c r="C21" s="262" t="s">
        <v>131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97</v>
      </c>
      <c r="M21" s="255">
        <f t="shared" si="0"/>
        <v>1.0522626697461936</v>
      </c>
      <c r="N21" s="256" t="s">
        <v>264</v>
      </c>
      <c r="O21" s="251" t="s">
        <v>263</v>
      </c>
      <c r="P21" s="245" t="s">
        <v>118</v>
      </c>
    </row>
    <row r="22" spans="1:16" ht="25" x14ac:dyDescent="0.35">
      <c r="A22" s="252">
        <v>15</v>
      </c>
      <c r="B22" s="245" t="s">
        <v>132</v>
      </c>
      <c r="C22" s="263" t="s">
        <v>133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97</v>
      </c>
      <c r="M22" s="255">
        <f>MAX(D22:J22)</f>
        <v>1.03</v>
      </c>
      <c r="N22" s="256" t="s">
        <v>264</v>
      </c>
      <c r="O22" s="251" t="s">
        <v>263</v>
      </c>
      <c r="P22" s="245"/>
    </row>
    <row r="29" spans="1:16" x14ac:dyDescent="0.35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Burg Claudius</cp:lastModifiedBy>
  <cp:lastPrinted>2015-03-20T22:59:10Z</cp:lastPrinted>
  <dcterms:created xsi:type="dcterms:W3CDTF">2015-01-15T05:25:41Z</dcterms:created>
  <dcterms:modified xsi:type="dcterms:W3CDTF">2020-06-25T13:48:09Z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